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BuÇalışmaKitabı" autoCompressPictures="0" defaultThemeVersion="124226"/>
  <mc:AlternateContent xmlns:mc="http://schemas.openxmlformats.org/markup-compatibility/2006">
    <mc:Choice Requires="x15">
      <x15ac:absPath xmlns:x15ac="http://schemas.microsoft.com/office/spreadsheetml/2010/11/ac" url="C:\Users\½\Desktop\"/>
    </mc:Choice>
  </mc:AlternateContent>
  <xr:revisionPtr revIDLastSave="0" documentId="13_ncr:1_{CE8F3D8F-5918-4C1F-A0DA-798C507A49AB}" xr6:coauthVersionLast="47" xr6:coauthVersionMax="47" xr10:uidLastSave="{00000000-0000-0000-0000-000000000000}"/>
  <workbookProtection workbookAlgorithmName="SHA-512" workbookHashValue="AGE8H5H4/FPiU6XjMFs7NkxPIPIR51jK36UQPku9A/Kvp30ilf+kXoO8Mm9GghnA1Tdg7/5plHgC6vABBDbl8g==" workbookSaltValue="7+9AvlJNZKTmUqcCom9zfw==" workbookSpinCount="100000" lockStructure="1"/>
  <bookViews>
    <workbookView xWindow="-120" yWindow="-120" windowWidth="29040" windowHeight="15840" xr2:uid="{00000000-000D-0000-FFFF-FFFF00000000}"/>
  </bookViews>
  <sheets>
    <sheet name="Özet Tablo" sheetId="130" r:id="rId1"/>
  </sheets>
  <definedNames>
    <definedName name="_xlnm._FilterDatabase" localSheetId="0" hidden="1">'Özet Tablo'!#REF!</definedName>
    <definedName name="Bartın_854">'Özet Tablo'!#REF!</definedName>
    <definedName name="Çanakkale_4857">'Özet Tablo'!#REF!</definedName>
    <definedName name="Çanakkale_854">'Özet Tablo'!#REF!</definedName>
    <definedName name="İST_K_4857">'Özet Tablo'!#REF!</definedName>
    <definedName name="İST_K_854">'Özet Tablo'!#REF!</definedName>
    <definedName name="İST_K_854_Deniz_Taksi">'Özet Tablo'!#REF!</definedName>
    <definedName name="İST_K_Güvenlik_Kapsam_Dışı">'Özet Tablo'!#REF!</definedName>
    <definedName name="İST_K_Kafe_Kapsam_Dışı">'Özet Tablo'!#REF!</definedName>
    <definedName name="İST_K_Temizlik_Kapsam_Dışı">'Özet Tablo'!#REF!</definedName>
    <definedName name="İST_Ö_4857">'Özet Tablo'!#REF!</definedName>
    <definedName name="İST_Ö_854">'Özet Tablo'!#REF!</definedName>
    <definedName name="İzmir_4857">'Özet Tablo'!#REF!</definedName>
    <definedName name="İzmir_854">'Özet Tablo'!#REF!</definedName>
    <definedName name="Zonguldak_854">'Özet Tablo'!#REF!</definedName>
  </definedNames>
  <calcPr calcId="191029" iterate="1"/>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Q16" i="130" l="1"/>
  <c r="AQ17" i="130"/>
  <c r="AQ18" i="130"/>
  <c r="AQ19" i="130"/>
  <c r="AQ20" i="130"/>
  <c r="AQ21" i="130"/>
  <c r="AQ22" i="130"/>
  <c r="AQ23" i="130"/>
  <c r="AQ24" i="130"/>
  <c r="AQ25" i="130"/>
  <c r="AQ26" i="130"/>
  <c r="AQ15" i="130"/>
  <c r="C1" i="130"/>
  <c r="C5" i="130"/>
  <c r="C10" i="130"/>
  <c r="AW4" i="130"/>
  <c r="AW5" i="130"/>
  <c r="AW6" i="130"/>
  <c r="AW7" i="130"/>
  <c r="AW8" i="130"/>
  <c r="AW9" i="130"/>
  <c r="AW10" i="130"/>
  <c r="AW11" i="130"/>
  <c r="AW2" i="130"/>
  <c r="AW12" i="130"/>
  <c r="AW3" i="130"/>
  <c r="AF30" i="130"/>
  <c r="AF29" i="130"/>
  <c r="AF2" i="130"/>
  <c r="AF3" i="130"/>
  <c r="AF4" i="130"/>
  <c r="AF5" i="130"/>
  <c r="AF6" i="130"/>
  <c r="AF7" i="130"/>
  <c r="AF8" i="130"/>
  <c r="AF9" i="130"/>
  <c r="AF10" i="130"/>
  <c r="AF11" i="130"/>
  <c r="AF12" i="130"/>
  <c r="AF1" i="130"/>
  <c r="AL29" i="130"/>
  <c r="AL30" i="130"/>
  <c r="AW1" i="130"/>
  <c r="AI39" i="130"/>
  <c r="AI38" i="130"/>
  <c r="AI36" i="130"/>
  <c r="AI35" i="130"/>
  <c r="AI33" i="130"/>
  <c r="AI32" i="130"/>
  <c r="AI29" i="130"/>
  <c r="AI30" i="130"/>
  <c r="AO30" i="130"/>
  <c r="AO31" i="130"/>
  <c r="AO32" i="130"/>
  <c r="AO33" i="130"/>
  <c r="AO34" i="130"/>
  <c r="AO35" i="130"/>
  <c r="AO36" i="130"/>
  <c r="AO37" i="130"/>
  <c r="AO38" i="130"/>
  <c r="AO39" i="130"/>
  <c r="AO40" i="130"/>
  <c r="AO29" i="130"/>
  <c r="AP30" i="130" l="1"/>
  <c r="AP31" i="130"/>
  <c r="AP32" i="130"/>
  <c r="AP33" i="130"/>
  <c r="AP34" i="130"/>
  <c r="AP35" i="130"/>
  <c r="AP36" i="130"/>
  <c r="AP37" i="130"/>
  <c r="AP38" i="130"/>
  <c r="AP39" i="130"/>
  <c r="AP40" i="130"/>
  <c r="AP29" i="130"/>
  <c r="AH29" i="130" l="1"/>
  <c r="AH30" i="130"/>
  <c r="AW16" i="130" l="1"/>
  <c r="AW15" i="130"/>
  <c r="AS16" i="130"/>
  <c r="AU16" i="130"/>
  <c r="AS15" i="130"/>
  <c r="AU15" i="130"/>
  <c r="AR29" i="130"/>
  <c r="AR30" i="130"/>
  <c r="AH4" i="130"/>
  <c r="AL4" i="130" s="1"/>
  <c r="AH5" i="130"/>
  <c r="AH6" i="130"/>
  <c r="AI6" i="130" s="1"/>
  <c r="AJ6" i="130" s="1"/>
  <c r="AK6" i="130" s="1"/>
  <c r="AH7" i="130"/>
  <c r="AI7" i="130" s="1"/>
  <c r="AH8" i="130"/>
  <c r="AI8" i="130" s="1"/>
  <c r="AH9" i="130"/>
  <c r="AH10" i="130"/>
  <c r="AI10" i="130" s="1"/>
  <c r="AJ10" i="130" s="1"/>
  <c r="AK10" i="130" s="1"/>
  <c r="AH11" i="130"/>
  <c r="AL11" i="130" s="1"/>
  <c r="AM11" i="130" s="1"/>
  <c r="AH12" i="130"/>
  <c r="AH1" i="130"/>
  <c r="AL1" i="130" s="1"/>
  <c r="AM1" i="130" s="1"/>
  <c r="AH2" i="130"/>
  <c r="AH3" i="130"/>
  <c r="AL3" i="130" s="1"/>
  <c r="AW30" i="130"/>
  <c r="AW31" i="130"/>
  <c r="AW32" i="130"/>
  <c r="AW33" i="130"/>
  <c r="AW34" i="130"/>
  <c r="AW35" i="130"/>
  <c r="AW36" i="130"/>
  <c r="AW37" i="130"/>
  <c r="AW38" i="130"/>
  <c r="AW39" i="130"/>
  <c r="AW40" i="130"/>
  <c r="AW29" i="130"/>
  <c r="F27" i="130"/>
  <c r="AQ58" i="130"/>
  <c r="AP58" i="130"/>
  <c r="AU43" i="130"/>
  <c r="AT43" i="130"/>
  <c r="AX40" i="130"/>
  <c r="AG55" i="130" s="1"/>
  <c r="AX39" i="130"/>
  <c r="AG54" i="130" s="1"/>
  <c r="AX38" i="130"/>
  <c r="AD53" i="130" s="1"/>
  <c r="AX37" i="130"/>
  <c r="AH52" i="130" s="1"/>
  <c r="AX36" i="130"/>
  <c r="AZ51" i="130" s="1"/>
  <c r="AX35" i="130"/>
  <c r="AG50" i="130" s="1"/>
  <c r="AX34" i="130"/>
  <c r="AX33" i="130"/>
  <c r="AX32" i="130"/>
  <c r="AD47" i="130" s="1"/>
  <c r="AE47" i="130" s="1"/>
  <c r="AF47" i="130" s="1"/>
  <c r="AX31" i="130"/>
  <c r="AD46" i="130" s="1"/>
  <c r="AX30" i="130"/>
  <c r="AX29" i="130"/>
  <c r="AD44" i="130" s="1"/>
  <c r="AB13" i="130"/>
  <c r="AB34" i="130"/>
  <c r="AB33" i="130" s="1"/>
  <c r="AC26" i="130"/>
  <c r="AB25" i="130"/>
  <c r="AD25" i="130" s="1"/>
  <c r="AB24" i="130"/>
  <c r="AE24" i="130" s="1"/>
  <c r="AB23" i="130"/>
  <c r="AE23" i="130" s="1"/>
  <c r="AB22" i="130"/>
  <c r="AB19" i="130"/>
  <c r="AB17" i="130"/>
  <c r="AB18" i="130" s="1"/>
  <c r="AD18" i="130" s="1"/>
  <c r="AD7" i="130" s="1"/>
  <c r="AB16" i="130"/>
  <c r="AD16" i="130" s="1"/>
  <c r="AD5" i="130" s="1"/>
  <c r="AB4" i="130"/>
  <c r="AD4" i="130" s="1"/>
  <c r="AB3" i="130"/>
  <c r="AD3" i="130" s="1"/>
  <c r="AB2" i="130"/>
  <c r="AE2" i="130" s="1"/>
  <c r="V2" i="130"/>
  <c r="AW60" i="130"/>
  <c r="AW61" i="130"/>
  <c r="AW62" i="130"/>
  <c r="AW63" i="130"/>
  <c r="AW64" i="130"/>
  <c r="AW65" i="130"/>
  <c r="AW66" i="130"/>
  <c r="AW67" i="130"/>
  <c r="AW68" i="130"/>
  <c r="AW69" i="130"/>
  <c r="AW70" i="130"/>
  <c r="AW59" i="130"/>
  <c r="H27" i="130"/>
  <c r="G27" i="130"/>
  <c r="E27" i="130"/>
  <c r="AK41" i="130"/>
  <c r="AU13" i="130"/>
  <c r="I27" i="130"/>
  <c r="AR45" i="130"/>
  <c r="AR46" i="130"/>
  <c r="AR47" i="130"/>
  <c r="AR48" i="130"/>
  <c r="AR49" i="130"/>
  <c r="AR50" i="130"/>
  <c r="AR51" i="130"/>
  <c r="AR52" i="130"/>
  <c r="AR53" i="130"/>
  <c r="AR54" i="130"/>
  <c r="AR55" i="130"/>
  <c r="AR44" i="130"/>
  <c r="AI45" i="130"/>
  <c r="AI46" i="130"/>
  <c r="AI47" i="130"/>
  <c r="AI48" i="130"/>
  <c r="AI49" i="130"/>
  <c r="AI50" i="130"/>
  <c r="AI51" i="130"/>
  <c r="AI52" i="130"/>
  <c r="AI53" i="130"/>
  <c r="AI54" i="130"/>
  <c r="AI55" i="130"/>
  <c r="AI44" i="130"/>
  <c r="AN45" i="130"/>
  <c r="AG15" i="130"/>
  <c r="AH15" i="130" s="1"/>
  <c r="AN48" i="130"/>
  <c r="AN47" i="130"/>
  <c r="AN46" i="130"/>
  <c r="AP45" i="130"/>
  <c r="AH48" i="130" l="1"/>
  <c r="AJ48" i="130" s="1"/>
  <c r="AK48" i="130" s="1"/>
  <c r="AG48" i="130"/>
  <c r="AD49" i="130"/>
  <c r="AZ49" i="130"/>
  <c r="AZ52" i="130"/>
  <c r="AB26" i="130"/>
  <c r="AD23" i="130"/>
  <c r="AZ47" i="130"/>
  <c r="AZ48" i="130"/>
  <c r="AE17" i="130"/>
  <c r="AE6" i="130" s="1"/>
  <c r="AD17" i="130"/>
  <c r="AD6" i="130" s="1"/>
  <c r="AE3" i="130"/>
  <c r="AZ55" i="130"/>
  <c r="AE22" i="130"/>
  <c r="AD22" i="130"/>
  <c r="AD24" i="130"/>
  <c r="AE4" i="130"/>
  <c r="AD2" i="130"/>
  <c r="AD34" i="130"/>
  <c r="AE34" i="130"/>
  <c r="AH51" i="130"/>
  <c r="AJ51" i="130" s="1"/>
  <c r="AD55" i="130"/>
  <c r="AE55" i="130" s="1"/>
  <c r="AF55" i="130" s="1"/>
  <c r="AE18" i="130"/>
  <c r="AE7" i="130" s="1"/>
  <c r="AE16" i="130"/>
  <c r="AE5" i="130" s="1"/>
  <c r="AP46" i="130"/>
  <c r="AP47" i="130" s="1"/>
  <c r="AP48" i="130" s="1"/>
  <c r="AH47" i="130"/>
  <c r="AJ47" i="130" s="1"/>
  <c r="AH55" i="130"/>
  <c r="AJ55" i="130" s="1"/>
  <c r="AL55" i="130" s="1"/>
  <c r="AW13" i="130"/>
  <c r="AW14" i="130" s="1"/>
  <c r="AJ52" i="130"/>
  <c r="AK52" i="130" s="1"/>
  <c r="AE25" i="130"/>
  <c r="AG44" i="130"/>
  <c r="AZ44" i="130"/>
  <c r="AG52" i="130"/>
  <c r="AG51" i="130"/>
  <c r="AD51" i="130"/>
  <c r="AE51" i="130" s="1"/>
  <c r="AF51" i="130" s="1"/>
  <c r="AG47" i="130"/>
  <c r="AL12" i="130"/>
  <c r="AM12" i="130" s="1"/>
  <c r="AN12" i="130" s="1"/>
  <c r="AI12" i="130"/>
  <c r="AJ12" i="130" s="1"/>
  <c r="AK12" i="130" s="1"/>
  <c r="AL8" i="130"/>
  <c r="AM8" i="130" s="1"/>
  <c r="AI66" i="130" s="1"/>
  <c r="AI69" i="130"/>
  <c r="AS30" i="130"/>
  <c r="AI15" i="130"/>
  <c r="AJ15" i="130" s="1"/>
  <c r="AF16" i="130"/>
  <c r="AD50" i="130"/>
  <c r="AE50" i="130" s="1"/>
  <c r="AF50" i="130" s="1"/>
  <c r="AZ46" i="130"/>
  <c r="AZ50" i="130"/>
  <c r="AZ54" i="130"/>
  <c r="AQ27" i="130"/>
  <c r="AQ28" i="130" s="1"/>
  <c r="AH53" i="130"/>
  <c r="AJ53" i="130" s="1"/>
  <c r="AD45" i="130"/>
  <c r="AE45" i="130" s="1"/>
  <c r="AF45" i="130" s="1"/>
  <c r="AZ45" i="130"/>
  <c r="AH45" i="130"/>
  <c r="AJ45" i="130" s="1"/>
  <c r="AD54" i="130"/>
  <c r="AE54" i="130" s="1"/>
  <c r="AF54" i="130" s="1"/>
  <c r="AG46" i="130"/>
  <c r="AG45" i="130"/>
  <c r="AZ53" i="130"/>
  <c r="AX41" i="130"/>
  <c r="AX42" i="130" s="1"/>
  <c r="AH50" i="130"/>
  <c r="AJ50" i="130" s="1"/>
  <c r="AG53" i="130"/>
  <c r="AL2" i="130"/>
  <c r="AM2" i="130" s="1"/>
  <c r="AI60" i="130" s="1"/>
  <c r="AI2" i="130"/>
  <c r="AL10" i="130"/>
  <c r="AM10" i="130" s="1"/>
  <c r="AN10" i="130" s="1"/>
  <c r="AP10" i="130" s="1"/>
  <c r="AI4" i="130"/>
  <c r="AE62" i="130" s="1"/>
  <c r="AL6" i="130"/>
  <c r="AM6" i="130" s="1"/>
  <c r="AN6" i="130" s="1"/>
  <c r="AI11" i="130"/>
  <c r="AX13" i="130"/>
  <c r="AI5" i="130"/>
  <c r="AJ5" i="130" s="1"/>
  <c r="AK5" i="130" s="1"/>
  <c r="AL5" i="130"/>
  <c r="AM5" i="130" s="1"/>
  <c r="AI63" i="130" s="1"/>
  <c r="AI9" i="130"/>
  <c r="AJ9" i="130" s="1"/>
  <c r="AK9" i="130" s="1"/>
  <c r="AL9" i="130"/>
  <c r="AF13" i="130"/>
  <c r="AF14" i="130" s="1"/>
  <c r="AN11" i="130"/>
  <c r="AP11" i="130" s="1"/>
  <c r="AM3" i="130"/>
  <c r="AI61" i="130" s="1"/>
  <c r="AE68" i="130"/>
  <c r="AL7" i="130"/>
  <c r="AM7" i="130" s="1"/>
  <c r="AN7" i="130" s="1"/>
  <c r="AI3" i="130"/>
  <c r="AI1" i="130"/>
  <c r="AE59" i="130" s="1"/>
  <c r="AL41" i="130"/>
  <c r="AL42" i="130" s="1"/>
  <c r="AW41" i="130"/>
  <c r="AW42" i="130" s="1"/>
  <c r="AO15" i="130"/>
  <c r="AD33" i="130"/>
  <c r="AE33" i="130"/>
  <c r="AI56" i="130"/>
  <c r="AI57" i="130" s="1"/>
  <c r="AR56" i="130"/>
  <c r="AR57" i="130" s="1"/>
  <c r="AN1" i="130"/>
  <c r="AM4" i="130"/>
  <c r="AI62" i="130" s="1"/>
  <c r="AE46" i="130"/>
  <c r="AF46" i="130" s="1"/>
  <c r="AH13" i="130"/>
  <c r="AH14" i="130" s="1"/>
  <c r="AJ8" i="130"/>
  <c r="AK8" i="130" s="1"/>
  <c r="AH44" i="130"/>
  <c r="AE44" i="130"/>
  <c r="AD52" i="130"/>
  <c r="AD48" i="130"/>
  <c r="AE53" i="130"/>
  <c r="AF53" i="130" s="1"/>
  <c r="AG49" i="130"/>
  <c r="AJ7" i="130"/>
  <c r="AK7" i="130" s="1"/>
  <c r="AH54" i="130"/>
  <c r="AJ54" i="130" s="1"/>
  <c r="AH46" i="130"/>
  <c r="AJ46" i="130" s="1"/>
  <c r="AH49" i="130"/>
  <c r="AJ49" i="130" s="1"/>
  <c r="AE64" i="130" l="1"/>
  <c r="AE49" i="130"/>
  <c r="AF49" i="130" s="1"/>
  <c r="AE26" i="130"/>
  <c r="AE27" i="130" s="1"/>
  <c r="AD26" i="130"/>
  <c r="AD27" i="130" s="1"/>
  <c r="AE19" i="130"/>
  <c r="AE20" i="130" s="1"/>
  <c r="AD19" i="130"/>
  <c r="AD20" i="130" s="1"/>
  <c r="AL48" i="130"/>
  <c r="AQ48" i="130" s="1"/>
  <c r="AS48" i="130" s="1"/>
  <c r="AE70" i="130"/>
  <c r="AK51" i="130"/>
  <c r="AL51" i="130"/>
  <c r="AA8" i="130"/>
  <c r="Z8" i="130" s="1"/>
  <c r="AI70" i="130"/>
  <c r="AN8" i="130"/>
  <c r="AP8" i="130" s="1"/>
  <c r="AE69" i="130"/>
  <c r="AL52" i="130"/>
  <c r="AQ52" i="130" s="1"/>
  <c r="AS52" i="130" s="1"/>
  <c r="AK47" i="130"/>
  <c r="AL47" i="130"/>
  <c r="AK55" i="130"/>
  <c r="AQ55" i="130" s="1"/>
  <c r="AS55" i="130" s="1"/>
  <c r="AI64" i="130"/>
  <c r="AG56" i="130"/>
  <c r="AG57" i="130" s="1"/>
  <c r="AE65" i="130"/>
  <c r="AE66" i="130"/>
  <c r="AL45" i="130"/>
  <c r="AK45" i="130"/>
  <c r="AJ11" i="130"/>
  <c r="AK11" i="130" s="1"/>
  <c r="AJ2" i="130"/>
  <c r="AK2" i="130" s="1"/>
  <c r="AE60" i="130"/>
  <c r="AO11" i="130"/>
  <c r="AQ11" i="130" s="1"/>
  <c r="AJ3" i="130"/>
  <c r="AK3" i="130" s="1"/>
  <c r="AE61" i="130"/>
  <c r="AJ4" i="130"/>
  <c r="AK4" i="130" s="1"/>
  <c r="AI13" i="130"/>
  <c r="AI14" i="130" s="1"/>
  <c r="AG16" i="130"/>
  <c r="AH16" i="130" s="1"/>
  <c r="AZ56" i="130"/>
  <c r="AZ57" i="130" s="1"/>
  <c r="AK50" i="130"/>
  <c r="AL50" i="130"/>
  <c r="AK53" i="130"/>
  <c r="AL53" i="130"/>
  <c r="AI68" i="130"/>
  <c r="AO10" i="130"/>
  <c r="AQ10" i="130" s="1"/>
  <c r="AR10" i="130" s="1"/>
  <c r="AN5" i="130"/>
  <c r="AP5" i="130" s="1"/>
  <c r="AL13" i="130"/>
  <c r="AL14" i="130" s="1"/>
  <c r="AJ1" i="130"/>
  <c r="AK1" i="130" s="1"/>
  <c r="AO12" i="130"/>
  <c r="AP12" i="130"/>
  <c r="AM9" i="130"/>
  <c r="AI67" i="130" s="1"/>
  <c r="AN3" i="130"/>
  <c r="AL46" i="130"/>
  <c r="AK46" i="130"/>
  <c r="AH56" i="130"/>
  <c r="AH57" i="130" s="1"/>
  <c r="AJ44" i="130"/>
  <c r="AN4" i="130"/>
  <c r="AI65" i="130"/>
  <c r="AP6" i="130"/>
  <c r="AO6" i="130"/>
  <c r="AL49" i="130"/>
  <c r="AK49" i="130"/>
  <c r="AF44" i="130"/>
  <c r="AK54" i="130"/>
  <c r="AL54" i="130"/>
  <c r="AE48" i="130"/>
  <c r="AF48" i="130" s="1"/>
  <c r="AE63" i="130"/>
  <c r="AO7" i="130"/>
  <c r="AP7" i="130"/>
  <c r="AE52" i="130"/>
  <c r="AF52" i="130" s="1"/>
  <c r="AE67" i="130"/>
  <c r="AP1" i="130"/>
  <c r="AO1" i="130"/>
  <c r="AN2" i="130"/>
  <c r="AD56" i="130"/>
  <c r="AD57" i="130" s="1"/>
  <c r="AS29" i="130"/>
  <c r="AU30" i="130"/>
  <c r="AU29" i="130"/>
  <c r="BA48" i="130" l="1"/>
  <c r="BA51" i="130"/>
  <c r="BA52" i="130"/>
  <c r="AO8" i="130"/>
  <c r="AQ8" i="130" s="1"/>
  <c r="AR8" i="130" s="1"/>
  <c r="BA55" i="130"/>
  <c r="BA45" i="130"/>
  <c r="AQ51" i="130"/>
  <c r="AS51" i="130" s="1"/>
  <c r="AQ45" i="130"/>
  <c r="AS45" i="130" s="1"/>
  <c r="AQ50" i="130"/>
  <c r="AS50" i="130" s="1"/>
  <c r="BA47" i="130"/>
  <c r="AQ47" i="130"/>
  <c r="AS47" i="130" s="1"/>
  <c r="AI16" i="130"/>
  <c r="BA50" i="130"/>
  <c r="AS10" i="130"/>
  <c r="AJ13" i="130"/>
  <c r="AJ14" i="130" s="1"/>
  <c r="AQ46" i="130"/>
  <c r="AS46" i="130" s="1"/>
  <c r="BA53" i="130"/>
  <c r="AF17" i="130"/>
  <c r="AO5" i="130"/>
  <c r="AQ5" i="130" s="1"/>
  <c r="AR5" i="130" s="1"/>
  <c r="AQ53" i="130"/>
  <c r="AS53" i="130" s="1"/>
  <c r="AE56" i="130"/>
  <c r="AE57" i="130" s="1"/>
  <c r="BA46" i="130"/>
  <c r="AQ49" i="130"/>
  <c r="AS49" i="130" s="1"/>
  <c r="AK13" i="130"/>
  <c r="AK14" i="130" s="1"/>
  <c r="AE71" i="130"/>
  <c r="AE72" i="130" s="1"/>
  <c r="AM13" i="130"/>
  <c r="AM14" i="130" s="1"/>
  <c r="AO3" i="130"/>
  <c r="AP3" i="130"/>
  <c r="AQ12" i="130"/>
  <c r="AQ6" i="130"/>
  <c r="AR6" i="130" s="1"/>
  <c r="AN9" i="130"/>
  <c r="AN13" i="130" s="1"/>
  <c r="AN14" i="130" s="1"/>
  <c r="AP4" i="130"/>
  <c r="AO4" i="130"/>
  <c r="AL44" i="130"/>
  <c r="AL56" i="130" s="1"/>
  <c r="AL57" i="130" s="1"/>
  <c r="AJ56" i="130"/>
  <c r="AJ57" i="130" s="1"/>
  <c r="AK44" i="130"/>
  <c r="AQ7" i="130"/>
  <c r="AP2" i="130"/>
  <c r="AO2" i="130"/>
  <c r="AQ54" i="130"/>
  <c r="AS54" i="130" s="1"/>
  <c r="BA54" i="130"/>
  <c r="AQ1" i="130"/>
  <c r="AR11" i="130"/>
  <c r="BA49" i="130"/>
  <c r="AF56" i="130"/>
  <c r="AF57" i="130" s="1"/>
  <c r="AJ16" i="130" l="1"/>
  <c r="AO16" i="130"/>
  <c r="AG17" i="130"/>
  <c r="AH17" i="130" s="1"/>
  <c r="BA44" i="130"/>
  <c r="BA56" i="130" s="1"/>
  <c r="BA57" i="130" s="1"/>
  <c r="AQ3" i="130"/>
  <c r="AR3" i="130" s="1"/>
  <c r="AR12" i="130"/>
  <c r="AS11" i="130"/>
  <c r="AP9" i="130"/>
  <c r="AP13" i="130" s="1"/>
  <c r="AP14" i="130" s="1"/>
  <c r="AO9" i="130"/>
  <c r="AO13" i="130" s="1"/>
  <c r="AO14" i="130" s="1"/>
  <c r="AQ44" i="130"/>
  <c r="AK56" i="130"/>
  <c r="AK57" i="130" s="1"/>
  <c r="AS6" i="130"/>
  <c r="AR1" i="130"/>
  <c r="AS8" i="130"/>
  <c r="AQ2" i="130"/>
  <c r="AR7" i="130"/>
  <c r="AS5" i="130"/>
  <c r="AQ4" i="130"/>
  <c r="AI17" i="130" l="1"/>
  <c r="AF18" i="130"/>
  <c r="AG18" i="130" s="1"/>
  <c r="AH18" i="130" s="1"/>
  <c r="AS3" i="130"/>
  <c r="AS7" i="130"/>
  <c r="AQ9" i="130"/>
  <c r="AQ13" i="130" s="1"/>
  <c r="AQ14" i="130" s="1"/>
  <c r="AS12" i="130"/>
  <c r="AS1" i="130"/>
  <c r="AQ56" i="130"/>
  <c r="AQ57" i="130" s="1"/>
  <c r="AS44" i="130"/>
  <c r="AR2" i="130"/>
  <c r="AN60" i="130" s="1"/>
  <c r="AR4" i="130"/>
  <c r="AJ17" i="130" l="1"/>
  <c r="AI18" i="130"/>
  <c r="AF19" i="130"/>
  <c r="AG19" i="130" s="1"/>
  <c r="AH19" i="130" s="1"/>
  <c r="AR9" i="130"/>
  <c r="AS9" i="130" s="1"/>
  <c r="AS4" i="130"/>
  <c r="AS2" i="130"/>
  <c r="AT47" i="130"/>
  <c r="AU47" i="130" s="1"/>
  <c r="AT44" i="130"/>
  <c r="AU44" i="130" s="1"/>
  <c r="AV44" i="130" s="1"/>
  <c r="AW44" i="130" s="1"/>
  <c r="AY44" i="130" s="1"/>
  <c r="AT49" i="130"/>
  <c r="AU49" i="130" s="1"/>
  <c r="AT46" i="130"/>
  <c r="AU46" i="130" s="1"/>
  <c r="AT54" i="130"/>
  <c r="AU54" i="130" s="1"/>
  <c r="AT51" i="130"/>
  <c r="AU51" i="130" s="1"/>
  <c r="AS56" i="130"/>
  <c r="AS57" i="130" s="1"/>
  <c r="AT45" i="130"/>
  <c r="AU45" i="130" s="1"/>
  <c r="AT50" i="130"/>
  <c r="AU50" i="130" s="1"/>
  <c r="AT48" i="130"/>
  <c r="AU48" i="130" s="1"/>
  <c r="AT53" i="130"/>
  <c r="AU53" i="130" s="1"/>
  <c r="AT52" i="130"/>
  <c r="AU52" i="130" s="1"/>
  <c r="AT55" i="130"/>
  <c r="AU55" i="130" s="1"/>
  <c r="AV54" i="130" l="1"/>
  <c r="AW54" i="130" s="1"/>
  <c r="AV47" i="130"/>
  <c r="AW47" i="130" s="1"/>
  <c r="AF20" i="130"/>
  <c r="AG20" i="130" s="1"/>
  <c r="AH20" i="130" s="1"/>
  <c r="AI19" i="130"/>
  <c r="AJ19" i="130" s="1"/>
  <c r="AV51" i="130"/>
  <c r="AW51" i="130" s="1"/>
  <c r="AY51" i="130" s="1"/>
  <c r="AV48" i="130"/>
  <c r="AW48" i="130" s="1"/>
  <c r="AY48" i="130" s="1"/>
  <c r="AV55" i="130"/>
  <c r="AW55" i="130" s="1"/>
  <c r="AY55" i="130" s="1"/>
  <c r="AV50" i="130"/>
  <c r="AW50" i="130" s="1"/>
  <c r="AY50" i="130" s="1"/>
  <c r="AJ18" i="130"/>
  <c r="AX44" i="130"/>
  <c r="AV53" i="130"/>
  <c r="AW53" i="130" s="1"/>
  <c r="AX53" i="130" s="1"/>
  <c r="AR13" i="130"/>
  <c r="AR14" i="130" s="1"/>
  <c r="AV52" i="130"/>
  <c r="AW52" i="130" s="1"/>
  <c r="AV45" i="130"/>
  <c r="AW45" i="130" s="1"/>
  <c r="AV46" i="130"/>
  <c r="AW46" i="130" s="1"/>
  <c r="AS13" i="130"/>
  <c r="AS14" i="130" s="1"/>
  <c r="AV49" i="130"/>
  <c r="AW49" i="130" s="1"/>
  <c r="AX54" i="130" l="1"/>
  <c r="AY54" i="130"/>
  <c r="AY47" i="130"/>
  <c r="AX47" i="130"/>
  <c r="AX50" i="130"/>
  <c r="AX51" i="130"/>
  <c r="AX55" i="130"/>
  <c r="AX48" i="130"/>
  <c r="AI20" i="130"/>
  <c r="AY53" i="130"/>
  <c r="AY49" i="130"/>
  <c r="AX49" i="130"/>
  <c r="AY46" i="130"/>
  <c r="AX46" i="130"/>
  <c r="AY45" i="130"/>
  <c r="AX45" i="130"/>
  <c r="AF21" i="130"/>
  <c r="AY52" i="130"/>
  <c r="AX52" i="130"/>
  <c r="AX56" i="130" l="1"/>
  <c r="AX57" i="130" s="1"/>
  <c r="AG21" i="130"/>
  <c r="AH21" i="130" s="1"/>
  <c r="AJ20" i="130"/>
  <c r="AF22" i="130" l="1"/>
  <c r="AI21" i="130"/>
  <c r="AG22" i="130" l="1"/>
  <c r="AH22" i="130" s="1"/>
  <c r="AJ21" i="130"/>
  <c r="AI22" i="130" l="1"/>
  <c r="AF23" i="130"/>
  <c r="AG23" i="130" l="1"/>
  <c r="AH23" i="130" s="1"/>
  <c r="AJ22" i="130"/>
  <c r="AI23" i="130" l="1"/>
  <c r="AF24" i="130"/>
  <c r="AJ23" i="130" l="1"/>
  <c r="AG24" i="130"/>
  <c r="AH24" i="130" s="1"/>
  <c r="AF25" i="130" l="1"/>
  <c r="AI24" i="130"/>
  <c r="AJ24" i="130" l="1"/>
  <c r="AG25" i="130"/>
  <c r="AH25" i="130" s="1"/>
  <c r="AF26" i="130" l="1"/>
  <c r="AI25" i="130"/>
  <c r="AG26" i="130" l="1"/>
  <c r="AH26" i="130" s="1"/>
  <c r="AJ25" i="130"/>
  <c r="AH27" i="130" l="1"/>
  <c r="AI26" i="130"/>
  <c r="AI27" i="130" s="1"/>
  <c r="AJ26" i="130" l="1"/>
  <c r="AJ27" i="130" s="1"/>
  <c r="AP41" i="130"/>
  <c r="AP42" i="130" s="1"/>
  <c r="AA11" i="130" l="1"/>
  <c r="Z11" i="130" s="1"/>
  <c r="AI59" i="130"/>
  <c r="AI71" i="130" s="1"/>
  <c r="AI72" i="130" s="1"/>
  <c r="AN59" i="130"/>
  <c r="AO41" i="130"/>
  <c r="AO42" i="130" s="1"/>
  <c r="AS23" i="130"/>
  <c r="AS19" i="130" l="1"/>
  <c r="AU19" i="130"/>
  <c r="AU22" i="130"/>
  <c r="AO22" i="130"/>
  <c r="AS22" i="130"/>
  <c r="AO23" i="130"/>
  <c r="AU23" i="130"/>
  <c r="AO20" i="130"/>
  <c r="AS20" i="130"/>
  <c r="AU20" i="130"/>
  <c r="AW21" i="130"/>
  <c r="AF35" i="130"/>
  <c r="AH35" i="130"/>
  <c r="AR35" i="130"/>
  <c r="AS35" i="130" s="1"/>
  <c r="AN65" i="130" s="1"/>
  <c r="AO21" i="130"/>
  <c r="AS21" i="130"/>
  <c r="AU21" i="130"/>
  <c r="AR37" i="130"/>
  <c r="AS37" i="130" s="1"/>
  <c r="AN67" i="130" s="1"/>
  <c r="AW23" i="130"/>
  <c r="AF37" i="130"/>
  <c r="AH37" i="130"/>
  <c r="AO18" i="130"/>
  <c r="AS18" i="130"/>
  <c r="AU18" i="130"/>
  <c r="AW18" i="130"/>
  <c r="AW19" i="130"/>
  <c r="AF33" i="130"/>
  <c r="AH33" i="130"/>
  <c r="AW20" i="130"/>
  <c r="AF34" i="130"/>
  <c r="AH34" i="130"/>
  <c r="AR34" i="130"/>
  <c r="AS34" i="130" s="1"/>
  <c r="AN64" i="130" s="1"/>
  <c r="AW22" i="130"/>
  <c r="AF36" i="130"/>
  <c r="AH36" i="130"/>
  <c r="AR36" i="130"/>
  <c r="AS36" i="130" s="1"/>
  <c r="AN66" i="130" s="1"/>
  <c r="AS17" i="130"/>
  <c r="AU17" i="130"/>
  <c r="AW17" i="130"/>
  <c r="AF31" i="130"/>
  <c r="AH31" i="130"/>
  <c r="AR31" i="130"/>
  <c r="AO17" i="130"/>
  <c r="AF32" i="130"/>
  <c r="AH32" i="130"/>
  <c r="AR32" i="130"/>
  <c r="AS32" i="130" s="1"/>
  <c r="AN62" i="130" s="1"/>
  <c r="AR33" i="130"/>
  <c r="AS33" i="130" s="1"/>
  <c r="AN63" i="130" s="1"/>
  <c r="AO19" i="130"/>
  <c r="AM27" i="130" l="1"/>
  <c r="AM28" i="130" s="1"/>
  <c r="AU37" i="130"/>
  <c r="AK27" i="130"/>
  <c r="AK28" i="130" s="1"/>
  <c r="AF38" i="130"/>
  <c r="AW24" i="130"/>
  <c r="AR38" i="130"/>
  <c r="AH38" i="130"/>
  <c r="AO24" i="130"/>
  <c r="AS24" i="130"/>
  <c r="AU24" i="130"/>
  <c r="AO25" i="130"/>
  <c r="AS25" i="130"/>
  <c r="AU25" i="130"/>
  <c r="AW25" i="130"/>
  <c r="AR39" i="130"/>
  <c r="AS39" i="130" s="1"/>
  <c r="AN69" i="130" s="1"/>
  <c r="AF39" i="130"/>
  <c r="AH39" i="130"/>
  <c r="AO26" i="130"/>
  <c r="AS26" i="130"/>
  <c r="AR40" i="130"/>
  <c r="AS40" i="130" s="1"/>
  <c r="AN70" i="130" s="1"/>
  <c r="AU26" i="130"/>
  <c r="AW26" i="130"/>
  <c r="AF40" i="130"/>
  <c r="AH40" i="130"/>
  <c r="AI34" i="130"/>
  <c r="AU33" i="130"/>
  <c r="AI37" i="130"/>
  <c r="AU35" i="130"/>
  <c r="AU36" i="130"/>
  <c r="AU34" i="130"/>
  <c r="AU31" i="130"/>
  <c r="AI31" i="130"/>
  <c r="AS31" i="130"/>
  <c r="AU32" i="130"/>
  <c r="AU40" i="130" l="1"/>
  <c r="AF41" i="130"/>
  <c r="AF42" i="130" s="1"/>
  <c r="AW27" i="130"/>
  <c r="AW28" i="130" s="1"/>
  <c r="AO27" i="130"/>
  <c r="AO28" i="130" s="1"/>
  <c r="AU27" i="130"/>
  <c r="AU28" i="130" s="1"/>
  <c r="AU39" i="130"/>
  <c r="AS38" i="130"/>
  <c r="AR41" i="130"/>
  <c r="AR42" i="130" s="1"/>
  <c r="AI40" i="130"/>
  <c r="AI41" i="130" s="1"/>
  <c r="AI42" i="130" s="1"/>
  <c r="AH41" i="130"/>
  <c r="AH42" i="130" s="1"/>
  <c r="AS27" i="130"/>
  <c r="AS28" i="130" s="1"/>
  <c r="AU38" i="130"/>
  <c r="AN61" i="130"/>
  <c r="AA12" i="130" l="1"/>
  <c r="Z12" i="130" s="1"/>
  <c r="AU41" i="130"/>
  <c r="AU42" i="130" s="1"/>
  <c r="AN68" i="130"/>
  <c r="AN71" i="130" s="1"/>
  <c r="AN72" i="130" s="1"/>
  <c r="AS41" i="130"/>
  <c r="AS42" i="130" s="1"/>
  <c r="Z1" i="130" l="1"/>
  <c r="AA1" i="130"/>
  <c r="AG1" i="130"/>
  <c r="AT1" i="130"/>
  <c r="AV1" i="130"/>
  <c r="Z2" i="130"/>
  <c r="AA2" i="130"/>
  <c r="AG2" i="130"/>
  <c r="AT2" i="130"/>
  <c r="AV2" i="130"/>
  <c r="Z3" i="130"/>
  <c r="AA3" i="130"/>
  <c r="AG3" i="130"/>
  <c r="AT3" i="130"/>
  <c r="AV3" i="130"/>
  <c r="Z4" i="130"/>
  <c r="AA4" i="130"/>
  <c r="AG4" i="130"/>
  <c r="AT4" i="130"/>
  <c r="AV4" i="130"/>
  <c r="Z5" i="130"/>
  <c r="AA5" i="130"/>
  <c r="AG5" i="130"/>
  <c r="AT5" i="130"/>
  <c r="AV5" i="130"/>
  <c r="Z6" i="130"/>
  <c r="AA6" i="130"/>
  <c r="AG6" i="130"/>
  <c r="AT6" i="130"/>
  <c r="AV6" i="130"/>
  <c r="Z7" i="130"/>
  <c r="AA7" i="130"/>
  <c r="AG7" i="130"/>
  <c r="AT7" i="130"/>
  <c r="AV7" i="130"/>
  <c r="AG8" i="130"/>
  <c r="AT8" i="130"/>
  <c r="AV8" i="130"/>
  <c r="Z9" i="130"/>
  <c r="AA9" i="130"/>
  <c r="AG9" i="130"/>
  <c r="AT9" i="130"/>
  <c r="AV9" i="130"/>
  <c r="Z10" i="130"/>
  <c r="AA10" i="130"/>
  <c r="AG10" i="130"/>
  <c r="AT10" i="130"/>
  <c r="AV10" i="130"/>
  <c r="AG11" i="130"/>
  <c r="AT11" i="130"/>
  <c r="AV11" i="130"/>
  <c r="AG12" i="130"/>
  <c r="AT12" i="130"/>
  <c r="AV12" i="130"/>
  <c r="Z13" i="130"/>
  <c r="AA13" i="130"/>
  <c r="AG13" i="130"/>
  <c r="AT13" i="130"/>
  <c r="AV13" i="130"/>
  <c r="Z14" i="130"/>
  <c r="AA14" i="130"/>
  <c r="AG14" i="130"/>
  <c r="AT14" i="130"/>
  <c r="AV14" i="130"/>
  <c r="A15" i="130"/>
  <c r="O15" i="130"/>
  <c r="P15" i="130"/>
  <c r="Q15" i="130"/>
  <c r="Z15" i="130"/>
  <c r="AA15" i="130"/>
  <c r="AL15" i="130"/>
  <c r="AN15" i="130"/>
  <c r="AP15" i="130"/>
  <c r="AR15" i="130"/>
  <c r="AT15" i="130"/>
  <c r="AV15" i="130"/>
  <c r="AX15" i="130"/>
  <c r="A16" i="130"/>
  <c r="O16" i="130"/>
  <c r="P16" i="130"/>
  <c r="Q16" i="130"/>
  <c r="Z16" i="130"/>
  <c r="AA16" i="130"/>
  <c r="AL16" i="130"/>
  <c r="AN16" i="130"/>
  <c r="AP16" i="130"/>
  <c r="AR16" i="130"/>
  <c r="AT16" i="130"/>
  <c r="AV16" i="130"/>
  <c r="AX16" i="130"/>
  <c r="A17" i="130"/>
  <c r="O17" i="130"/>
  <c r="P17" i="130"/>
  <c r="Q17" i="130"/>
  <c r="Z17" i="130"/>
  <c r="AA17" i="130"/>
  <c r="AL17" i="130"/>
  <c r="AN17" i="130"/>
  <c r="AP17" i="130"/>
  <c r="AR17" i="130"/>
  <c r="AT17" i="130"/>
  <c r="AV17" i="130"/>
  <c r="AX17" i="130"/>
  <c r="A18" i="130"/>
  <c r="O18" i="130"/>
  <c r="P18" i="130"/>
  <c r="Q18" i="130"/>
  <c r="Z18" i="130"/>
  <c r="AA18" i="130"/>
  <c r="AL18" i="130"/>
  <c r="AN18" i="130"/>
  <c r="AP18" i="130"/>
  <c r="AR18" i="130"/>
  <c r="AT18" i="130"/>
  <c r="AV18" i="130"/>
  <c r="AX18" i="130"/>
  <c r="A19" i="130"/>
  <c r="O19" i="130"/>
  <c r="P19" i="130"/>
  <c r="Q19" i="130"/>
  <c r="Z19" i="130"/>
  <c r="AA19" i="130"/>
  <c r="AL19" i="130"/>
  <c r="AN19" i="130"/>
  <c r="AP19" i="130"/>
  <c r="AR19" i="130"/>
  <c r="AT19" i="130"/>
  <c r="AV19" i="130"/>
  <c r="AX19" i="130"/>
  <c r="A20" i="130"/>
  <c r="O20" i="130"/>
  <c r="P20" i="130"/>
  <c r="Q20" i="130"/>
  <c r="Z20" i="130"/>
  <c r="AA20" i="130"/>
  <c r="AL20" i="130"/>
  <c r="AN20" i="130"/>
  <c r="AP20" i="130"/>
  <c r="AR20" i="130"/>
  <c r="AT20" i="130"/>
  <c r="AV20" i="130"/>
  <c r="AX20" i="130"/>
  <c r="A21" i="130"/>
  <c r="O21" i="130"/>
  <c r="P21" i="130"/>
  <c r="Q21" i="130"/>
  <c r="AL21" i="130"/>
  <c r="AN21" i="130"/>
  <c r="AP21" i="130"/>
  <c r="AR21" i="130"/>
  <c r="AT21" i="130"/>
  <c r="AV21" i="130"/>
  <c r="AX21" i="130"/>
  <c r="A22" i="130"/>
  <c r="O22" i="130"/>
  <c r="P22" i="130"/>
  <c r="Q22" i="130"/>
  <c r="AL22" i="130"/>
  <c r="AN22" i="130"/>
  <c r="AP22" i="130"/>
  <c r="AR22" i="130"/>
  <c r="AT22" i="130"/>
  <c r="AV22" i="130"/>
  <c r="AX22" i="130"/>
  <c r="A23" i="130"/>
  <c r="O23" i="130"/>
  <c r="P23" i="130"/>
  <c r="Q23" i="130"/>
  <c r="AL23" i="130"/>
  <c r="AN23" i="130"/>
  <c r="AP23" i="130"/>
  <c r="AR23" i="130"/>
  <c r="AT23" i="130"/>
  <c r="AV23" i="130"/>
  <c r="AX23" i="130"/>
  <c r="A24" i="130"/>
  <c r="O24" i="130"/>
  <c r="P24" i="130"/>
  <c r="Q24" i="130"/>
  <c r="AL24" i="130"/>
  <c r="AN24" i="130"/>
  <c r="AP24" i="130"/>
  <c r="AR24" i="130"/>
  <c r="AT24" i="130"/>
  <c r="AV24" i="130"/>
  <c r="AX24" i="130"/>
  <c r="A25" i="130"/>
  <c r="O25" i="130"/>
  <c r="P25" i="130"/>
  <c r="Q25" i="130"/>
  <c r="AL25" i="130"/>
  <c r="AN25" i="130"/>
  <c r="AP25" i="130"/>
  <c r="AR25" i="130"/>
  <c r="AT25" i="130"/>
  <c r="AV25" i="130"/>
  <c r="AX25" i="130"/>
  <c r="A26" i="130"/>
  <c r="O26" i="130"/>
  <c r="P26" i="130"/>
  <c r="Q26" i="130"/>
  <c r="AL26" i="130"/>
  <c r="AN26" i="130"/>
  <c r="AP26" i="130"/>
  <c r="AR26" i="130"/>
  <c r="AT26" i="130"/>
  <c r="AV26" i="130"/>
  <c r="AX26" i="130"/>
  <c r="O27" i="130"/>
  <c r="P27" i="130"/>
  <c r="Q27" i="130"/>
  <c r="AL27" i="130"/>
  <c r="AN27" i="130"/>
  <c r="AP27" i="130"/>
  <c r="AR27" i="130"/>
  <c r="AT27" i="130"/>
  <c r="AV27" i="130"/>
  <c r="AX27" i="130"/>
  <c r="A28" i="130"/>
  <c r="O28" i="130"/>
  <c r="P28" i="130"/>
  <c r="Q28" i="130"/>
  <c r="AL28" i="130"/>
  <c r="AN28" i="130"/>
  <c r="AP28" i="130"/>
  <c r="AR28" i="130"/>
  <c r="AT28" i="130"/>
  <c r="AV28" i="130"/>
  <c r="AX28" i="130"/>
  <c r="AG29" i="130"/>
  <c r="AJ29" i="130"/>
  <c r="AM29" i="130"/>
  <c r="AN29" i="130"/>
  <c r="AT29" i="130"/>
  <c r="AV29" i="130"/>
  <c r="AG30" i="130"/>
  <c r="AJ30" i="130"/>
  <c r="AM30" i="130"/>
  <c r="AN30" i="130"/>
  <c r="AT30" i="130"/>
  <c r="AV30" i="130"/>
  <c r="AG31" i="130"/>
  <c r="AJ31" i="130"/>
  <c r="AM31" i="130"/>
  <c r="AN31" i="130"/>
  <c r="AT31" i="130"/>
  <c r="AV31" i="130"/>
  <c r="AG32" i="130"/>
  <c r="AJ32" i="130"/>
  <c r="AM32" i="130"/>
  <c r="AN32" i="130"/>
  <c r="AT32" i="130"/>
  <c r="AV32" i="130"/>
  <c r="AG33" i="130"/>
  <c r="AJ33" i="130"/>
  <c r="AM33" i="130"/>
  <c r="AN33" i="130"/>
  <c r="AT33" i="130"/>
  <c r="AV33" i="130"/>
  <c r="AG34" i="130"/>
  <c r="AJ34" i="130"/>
  <c r="AM34" i="130"/>
  <c r="AN34" i="130"/>
  <c r="AT34" i="130"/>
  <c r="AV34" i="130"/>
  <c r="AG35" i="130"/>
  <c r="AJ35" i="130"/>
  <c r="AM35" i="130"/>
  <c r="AN35" i="130"/>
  <c r="AT35" i="130"/>
  <c r="AV35" i="130"/>
  <c r="AG36" i="130"/>
  <c r="AJ36" i="130"/>
  <c r="AM36" i="130"/>
  <c r="AN36" i="130"/>
  <c r="AT36" i="130"/>
  <c r="AV36" i="130"/>
  <c r="AG37" i="130"/>
  <c r="AJ37" i="130"/>
  <c r="AM37" i="130"/>
  <c r="AN37" i="130"/>
  <c r="AT37" i="130"/>
  <c r="AV37" i="130"/>
  <c r="AG38" i="130"/>
  <c r="AJ38" i="130"/>
  <c r="AM38" i="130"/>
  <c r="AN38" i="130"/>
  <c r="AT38" i="130"/>
  <c r="AV38" i="130"/>
  <c r="AG39" i="130"/>
  <c r="AJ39" i="130"/>
  <c r="AM39" i="130"/>
  <c r="AN39" i="130"/>
  <c r="AT39" i="130"/>
  <c r="AV39" i="130"/>
  <c r="AG40" i="130"/>
  <c r="AJ40" i="130"/>
  <c r="AM40" i="130"/>
  <c r="AN40" i="130"/>
  <c r="AT40" i="130"/>
  <c r="AV40" i="130"/>
  <c r="AG41" i="130"/>
  <c r="AJ41" i="130"/>
  <c r="AM41" i="130"/>
  <c r="AN41" i="130"/>
  <c r="AT41" i="130"/>
  <c r="AV41" i="130"/>
  <c r="AG42" i="130"/>
  <c r="AJ42" i="130"/>
  <c r="AM42" i="130"/>
  <c r="AN42" i="130"/>
  <c r="AT42" i="130"/>
  <c r="AV42" i="130"/>
  <c r="AD59" i="130"/>
  <c r="AF59" i="130"/>
  <c r="AG59" i="130"/>
  <c r="AH59" i="130"/>
  <c r="AJ59" i="130"/>
  <c r="AK59" i="130"/>
  <c r="AL59" i="130"/>
  <c r="AM59" i="130"/>
  <c r="AO59" i="130"/>
  <c r="AP59" i="130"/>
  <c r="AQ59" i="130"/>
  <c r="AR59" i="130"/>
  <c r="AS59" i="130"/>
  <c r="AT59" i="130"/>
  <c r="AU59" i="130"/>
  <c r="AV59" i="130"/>
  <c r="AX59" i="130"/>
  <c r="AD60" i="130"/>
  <c r="AF60" i="130"/>
  <c r="AG60" i="130"/>
  <c r="AH60" i="130"/>
  <c r="AJ60" i="130"/>
  <c r="AK60" i="130"/>
  <c r="AL60" i="130"/>
  <c r="AM60" i="130"/>
  <c r="AO60" i="130"/>
  <c r="AP60" i="130"/>
  <c r="AQ60" i="130"/>
  <c r="AR60" i="130"/>
  <c r="AS60" i="130"/>
  <c r="AT60" i="130"/>
  <c r="AU60" i="130"/>
  <c r="AV60" i="130"/>
  <c r="AX60" i="130"/>
  <c r="AD61" i="130"/>
  <c r="AF61" i="130"/>
  <c r="AG61" i="130"/>
  <c r="AH61" i="130"/>
  <c r="AJ61" i="130"/>
  <c r="AK61" i="130"/>
  <c r="AL61" i="130"/>
  <c r="AM61" i="130"/>
  <c r="AO61" i="130"/>
  <c r="AP61" i="130"/>
  <c r="AQ61" i="130"/>
  <c r="AR61" i="130"/>
  <c r="AS61" i="130"/>
  <c r="AT61" i="130"/>
  <c r="AU61" i="130"/>
  <c r="AV61" i="130"/>
  <c r="AX61" i="130"/>
  <c r="AD62" i="130"/>
  <c r="AF62" i="130"/>
  <c r="AG62" i="130"/>
  <c r="AH62" i="130"/>
  <c r="AJ62" i="130"/>
  <c r="AK62" i="130"/>
  <c r="AL62" i="130"/>
  <c r="AM62" i="130"/>
  <c r="AO62" i="130"/>
  <c r="AP62" i="130"/>
  <c r="AQ62" i="130"/>
  <c r="AR62" i="130"/>
  <c r="AS62" i="130"/>
  <c r="AT62" i="130"/>
  <c r="AU62" i="130"/>
  <c r="AV62" i="130"/>
  <c r="AX62" i="130"/>
  <c r="AD63" i="130"/>
  <c r="AF63" i="130"/>
  <c r="AG63" i="130"/>
  <c r="AH63" i="130"/>
  <c r="AJ63" i="130"/>
  <c r="AK63" i="130"/>
  <c r="AL63" i="130"/>
  <c r="AM63" i="130"/>
  <c r="AO63" i="130"/>
  <c r="AP63" i="130"/>
  <c r="AQ63" i="130"/>
  <c r="AR63" i="130"/>
  <c r="AS63" i="130"/>
  <c r="AT63" i="130"/>
  <c r="AU63" i="130"/>
  <c r="AV63" i="130"/>
  <c r="AX63" i="130"/>
  <c r="AD64" i="130"/>
  <c r="AF64" i="130"/>
  <c r="AG64" i="130"/>
  <c r="AH64" i="130"/>
  <c r="AJ64" i="130"/>
  <c r="AK64" i="130"/>
  <c r="AL64" i="130"/>
  <c r="AM64" i="130"/>
  <c r="AO64" i="130"/>
  <c r="AP64" i="130"/>
  <c r="AQ64" i="130"/>
  <c r="AR64" i="130"/>
  <c r="AS64" i="130"/>
  <c r="AT64" i="130"/>
  <c r="AU64" i="130"/>
  <c r="AV64" i="130"/>
  <c r="AX64" i="130"/>
  <c r="AD65" i="130"/>
  <c r="AF65" i="130"/>
  <c r="AG65" i="130"/>
  <c r="AH65" i="130"/>
  <c r="AJ65" i="130"/>
  <c r="AK65" i="130"/>
  <c r="AL65" i="130"/>
  <c r="AM65" i="130"/>
  <c r="AO65" i="130"/>
  <c r="AP65" i="130"/>
  <c r="AQ65" i="130"/>
  <c r="AR65" i="130"/>
  <c r="AS65" i="130"/>
  <c r="AT65" i="130"/>
  <c r="AU65" i="130"/>
  <c r="AV65" i="130"/>
  <c r="AX65" i="130"/>
  <c r="AD66" i="130"/>
  <c r="AF66" i="130"/>
  <c r="AG66" i="130"/>
  <c r="AH66" i="130"/>
  <c r="AJ66" i="130"/>
  <c r="AK66" i="130"/>
  <c r="AL66" i="130"/>
  <c r="AM66" i="130"/>
  <c r="AO66" i="130"/>
  <c r="AP66" i="130"/>
  <c r="AQ66" i="130"/>
  <c r="AR66" i="130"/>
  <c r="AS66" i="130"/>
  <c r="AT66" i="130"/>
  <c r="AU66" i="130"/>
  <c r="AV66" i="130"/>
  <c r="AX66" i="130"/>
  <c r="AD67" i="130"/>
  <c r="AF67" i="130"/>
  <c r="AG67" i="130"/>
  <c r="AH67" i="130"/>
  <c r="AJ67" i="130"/>
  <c r="AK67" i="130"/>
  <c r="AL67" i="130"/>
  <c r="AM67" i="130"/>
  <c r="AO67" i="130"/>
  <c r="AP67" i="130"/>
  <c r="AQ67" i="130"/>
  <c r="AR67" i="130"/>
  <c r="AS67" i="130"/>
  <c r="AT67" i="130"/>
  <c r="AU67" i="130"/>
  <c r="AV67" i="130"/>
  <c r="AX67" i="130"/>
  <c r="AD68" i="130"/>
  <c r="AF68" i="130"/>
  <c r="AG68" i="130"/>
  <c r="AH68" i="130"/>
  <c r="AJ68" i="130"/>
  <c r="AK68" i="130"/>
  <c r="AL68" i="130"/>
  <c r="AM68" i="130"/>
  <c r="AO68" i="130"/>
  <c r="AP68" i="130"/>
  <c r="AQ68" i="130"/>
  <c r="AR68" i="130"/>
  <c r="AS68" i="130"/>
  <c r="AT68" i="130"/>
  <c r="AU68" i="130"/>
  <c r="AV68" i="130"/>
  <c r="AX68" i="130"/>
  <c r="AD69" i="130"/>
  <c r="AF69" i="130"/>
  <c r="AG69" i="130"/>
  <c r="AH69" i="130"/>
  <c r="AJ69" i="130"/>
  <c r="AK69" i="130"/>
  <c r="AL69" i="130"/>
  <c r="AM69" i="130"/>
  <c r="AO69" i="130"/>
  <c r="AP69" i="130"/>
  <c r="AQ69" i="130"/>
  <c r="AR69" i="130"/>
  <c r="AS69" i="130"/>
  <c r="AT69" i="130"/>
  <c r="AU69" i="130"/>
  <c r="AV69" i="130"/>
  <c r="AX69" i="130"/>
  <c r="AD70" i="130"/>
  <c r="AF70" i="130"/>
  <c r="AG70" i="130"/>
  <c r="AH70" i="130"/>
  <c r="AJ70" i="130"/>
  <c r="AK70" i="130"/>
  <c r="AL70" i="130"/>
  <c r="AM70" i="130"/>
  <c r="AO70" i="130"/>
  <c r="AP70" i="130"/>
  <c r="AQ70" i="130"/>
  <c r="AR70" i="130"/>
  <c r="AS70" i="130"/>
  <c r="AT70" i="130"/>
  <c r="AU70" i="130"/>
  <c r="AV70" i="130"/>
  <c r="AX70" i="130"/>
  <c r="AD71" i="130"/>
  <c r="AF71" i="130"/>
  <c r="AG71" i="130"/>
  <c r="AH71" i="130"/>
  <c r="AJ71" i="130"/>
  <c r="AK71" i="130"/>
  <c r="AL71" i="130"/>
  <c r="AM71" i="130"/>
  <c r="AO71" i="130"/>
  <c r="AS71" i="130"/>
  <c r="AT71" i="130"/>
  <c r="AU71" i="130"/>
  <c r="AD72" i="130"/>
  <c r="AF72" i="130"/>
  <c r="AG72" i="130"/>
  <c r="AH72" i="130"/>
  <c r="AJ72" i="130"/>
  <c r="AK72" i="130"/>
  <c r="AL72" i="130"/>
  <c r="AM72" i="130"/>
  <c r="AO72" i="130"/>
  <c r="AS72" i="130"/>
  <c r="AT72" i="130"/>
  <c r="AU72" i="130"/>
  <c r="AD73" i="130"/>
  <c r="AE73" i="130"/>
  <c r="AF73" i="130"/>
  <c r="AG73" i="130"/>
  <c r="AH73" i="130"/>
  <c r="AD74" i="130"/>
  <c r="AE74" i="130"/>
  <c r="AF74" i="130"/>
  <c r="AG74" i="130"/>
  <c r="AH74" i="130"/>
  <c r="AD75" i="130"/>
  <c r="AE75" i="130"/>
  <c r="AF75" i="130"/>
  <c r="AG75" i="130"/>
  <c r="AH75" i="130"/>
  <c r="AD76" i="130"/>
  <c r="AE76" i="130"/>
  <c r="AF76" i="130"/>
  <c r="AG76" i="130"/>
  <c r="AH76" i="130"/>
  <c r="AD77" i="130"/>
  <c r="AE77" i="130"/>
  <c r="AF77" i="130"/>
  <c r="AG77" i="130"/>
  <c r="AH77" i="130"/>
  <c r="AD78" i="130"/>
  <c r="AE78" i="130"/>
  <c r="AF78" i="130"/>
  <c r="AG78" i="130"/>
  <c r="AH78" i="130"/>
  <c r="AD79" i="130"/>
  <c r="AE79" i="130"/>
  <c r="AF79" i="130"/>
  <c r="AG79" i="130"/>
  <c r="AH79" i="130"/>
  <c r="AD80" i="130"/>
  <c r="AE80" i="130"/>
  <c r="AF80" i="130"/>
  <c r="AG80" i="130"/>
  <c r="AH80" i="130"/>
  <c r="AD81" i="130"/>
  <c r="AE81" i="130"/>
  <c r="AF81" i="130"/>
  <c r="AG81" i="130"/>
  <c r="AH81" i="130"/>
  <c r="AD82" i="130"/>
  <c r="AE82" i="130"/>
  <c r="AF82" i="130"/>
  <c r="AG82" i="130"/>
  <c r="AH82" i="130"/>
  <c r="AD83" i="130"/>
  <c r="AE83" i="130"/>
  <c r="AF83" i="130"/>
  <c r="AG83" i="130"/>
  <c r="AH83" i="130"/>
  <c r="AD84" i="130"/>
  <c r="AE84" i="130"/>
  <c r="AF84" i="130"/>
  <c r="AG84" i="130"/>
  <c r="AH84" i="130"/>
  <c r="AD85" i="130"/>
  <c r="AE85" i="130"/>
  <c r="AF85" i="130"/>
  <c r="AG85" i="130"/>
  <c r="AH85" i="130"/>
  <c r="AD86" i="130"/>
  <c r="AE86" i="130"/>
  <c r="AF86" i="130"/>
  <c r="AG86" i="130"/>
  <c r="AH86" i="130"/>
</calcChain>
</file>

<file path=xl/sharedStrings.xml><?xml version="1.0" encoding="utf-8"?>
<sst xmlns="http://schemas.openxmlformats.org/spreadsheetml/2006/main" count="608" uniqueCount="98">
  <si>
    <t>-</t>
  </si>
  <si>
    <t>Yok</t>
  </si>
  <si>
    <t>Doğal Afet Yardımı</t>
  </si>
  <si>
    <t>Kıdem Yardımı</t>
  </si>
  <si>
    <t>SGK Prim Kesintisi</t>
  </si>
  <si>
    <t>SGK İşsizlik Primi Kesintisi</t>
  </si>
  <si>
    <t>Yemek Yardımı</t>
  </si>
  <si>
    <t>Sosyal Yardım</t>
  </si>
  <si>
    <t>Evlilik Yardımı</t>
  </si>
  <si>
    <t>Var</t>
  </si>
  <si>
    <t>Annelik İzni</t>
  </si>
  <si>
    <t>Analık Hâli İzni</t>
  </si>
  <si>
    <t>Babalık İzni</t>
  </si>
  <si>
    <t>Süt İzni</t>
  </si>
  <si>
    <t>Engelli Çocuk İzni</t>
  </si>
  <si>
    <t>Evlat Edinme İzni</t>
  </si>
  <si>
    <t>Doğal Afet İzni</t>
  </si>
  <si>
    <t>Ulaşım Yardımı</t>
  </si>
  <si>
    <t>Normal Çalışma</t>
  </si>
  <si>
    <t>BES Kesintisi</t>
  </si>
  <si>
    <t>Damga Vergisi Kesintisi</t>
  </si>
  <si>
    <t>Gelir Vergisi Kesintisi</t>
  </si>
  <si>
    <t>İkramiye Yardımı</t>
  </si>
  <si>
    <t>İş Kazası veya Meslek Hastalığı Tazminatı</t>
  </si>
  <si>
    <t>Nakdi Yardımlar</t>
  </si>
  <si>
    <t>Sendika Üyelik Aidatı Kesintisi</t>
  </si>
  <si>
    <t>Gıda Yardımı</t>
  </si>
  <si>
    <t>Ücretli Sendikal İzin ve Sendika Temsilci Sayısı</t>
  </si>
  <si>
    <t>İş Arama İzni</t>
  </si>
  <si>
    <t>Ücretli Yıllık İzin</t>
  </si>
  <si>
    <t>Kazançlar</t>
  </si>
  <si>
    <t>Kesintiler</t>
  </si>
  <si>
    <t>Cenaze İzni</t>
  </si>
  <si>
    <t>Evlilik İzni</t>
  </si>
  <si>
    <t>Mazeret İzni</t>
  </si>
  <si>
    <t>Yol İzni</t>
  </si>
  <si>
    <t>a) İşçinin eşinin doğum yapması hâlinde 5 takvim günü ücretli sosyal izin verilir.</t>
  </si>
  <si>
    <t>a) İşçinin ikamet ettiği konutun doğal afet nedeniyle hasara uğraması hâlinde 10 iş günü ücretli sosyal izin verilir.</t>
  </si>
  <si>
    <t>a) İşçinin evlenmesi hâlinde 7 iş günü ücretli sosyal izin verilir.
b) İşçinin çocuğunun evlenmesi hâlinde 0 iş günü ücretli sosyal izin verilir.
c) İşçinin evliliğinde, evlilik izninin hangi şekilde kullanılacağı işçinin talebi doğrultusunda değerlendirilir.</t>
  </si>
  <si>
    <t>a) İşçilere, gerekli ve geçerli mazeretleri hâlinde işverenin takdirine bağlı olarak yılda 6 iş günü ücretli sosyal izin verilir.
b) İşçilere, gerekli ve geçerli mazeretleri hâlinde işverenin takdirine bağlı olarak yılda 6 aya kadar ücretsiz sosyal izin verilebilir. Genel müdürün uygun görmesi hâlinde 12 aya kadar uzatılabilir.</t>
  </si>
  <si>
    <t>Askerlik Yardımı</t>
  </si>
  <si>
    <t>a) İşçinin eşinin veya çocuğunun vefatı hâlinde 5 iş günü ücretli sosyal izin verilir.
b) İşçinin annesinin, babasının veya kardeşinin vefatı hâlinde 5 iş günü ücretli sosyal izin verilir.
c) İşçinin eşinin annesinin, babasının veya kardeşinin vefatı hâlinde 5 iş günü ücretli sosyal izin verilir.
d) İşçinin amcasının, halasının, dayısının, teyzesinin, dedesinin veya ninesinin vefatı hâlinde 0 iş günü ücretli sosyal izin verilir.
e) Cenazenin il dışında olması veya il dışına götürülmesi hâlinde işçinin annesinin, babasının, kardeşinin, eşinin veya çocuğunun cenazesi için ilave 5 iş günü amcasının, halasının, dayısının, teyzesinin, dedesinin veya ninesinin cenazesi için ilave 0 iş günü ücretli sosyal izin verilir.
f) İşçilerden birinin vefatı hâlinde cenaze işlemleri veya katılımı için ihtiyaç kadar işçiye ücretli sosyal izin verilir.
g) Vefat eden kişi birden fazla personelin yakını ise cenaze izni her personele ayrı ayrı verilir.</t>
  </si>
  <si>
    <t>a) Yıllık ücretli izinleri işyerinin kurulu bulunduğu yerden başka bir yerde geçirecek olanlara istemde bulunmaları ve bu hususu belgelemeleri koşulu ile gidiş ve dönüşlerinde yolda geçecek süreleri karşılamak üzere işveren toplam 4 güne kadar ücretsiz yol izni vermek zorundadır.
(Yıllık Ücretli İzin Yönetmeliği / Madde 6)</t>
  </si>
  <si>
    <t>a) 01.01.2009 Tarihinden Önce İşe Başlayanlar İçin:
Hizmeti 6 ay olanlar için 0 iş günü ücretli yıllık izin verilir.
Hizmeti 1-5 yıl olanlar için 14 iş günü ücretli yıllık izin verilir.
Hizmeti 5-10 yıl olanlar için 23 iş günü ücretli yıllık izin verilir.
Hizmeti 10-15 yıl olanlar için 23 iş günü ücretli yıllık izin verilir.
Hizmeti 15 yıldan fazla olanlar için 26 iş günü ücretli yıllık izin verilir.
b) 01.01.2009 Tarihinden Sonra İşe Başlayanlar İçin:
Hizmeti 6 ay olanlar için 0 iş günü ücretli yıllık izin verilir.
Hizmeti 1-5 yıl olanlar için 14 iş günü ücretli yıllık izin verilir.
Hizmeti 5-10 yıl olanlar için 20 iş günü ücretli yıllık izin verilir.
Hizmeti 10-15 yıl olanlar için 20 iş günü ücretli yıllık izin verilir.
Hizmeti 15 yıldan fazla olanlar için 26 iş günü ücretli yıllık izin verilir.</t>
  </si>
  <si>
    <t>Yıllık Ortalama</t>
  </si>
  <si>
    <t xml:space="preserve">   Kıdem Yardımı</t>
  </si>
  <si>
    <t xml:space="preserve">   Yemek Yardımı</t>
  </si>
  <si>
    <t xml:space="preserve">   Nakdi Yardımlar
   Sürekliliği Olmayan Yardımlar</t>
  </si>
  <si>
    <t>Cenaze Yardımı (Anne-Baba)</t>
  </si>
  <si>
    <t>Cenaze Yardımı (Eş-Çocuk)</t>
  </si>
  <si>
    <t>Cenaze Yardımı (İşçi-İş Kazası Sonucu)</t>
  </si>
  <si>
    <t>Cenaze Yardımı (İşçi-Tabii Sebepler Sonucu)</t>
  </si>
  <si>
    <t>Eğitim Yardımı (İşçi-Lise)</t>
  </si>
  <si>
    <t>Eğitim Yardımı (İşçi-Yükseköğretim)</t>
  </si>
  <si>
    <t>Eğitim Yardımı (Çocuk-İlköğretim)</t>
  </si>
  <si>
    <t>Eğitim Yardımı (Çocuk-Ortaöğretim)</t>
  </si>
  <si>
    <t>Eğitim Yardımı (Çocuk-Lise)</t>
  </si>
  <si>
    <t>Eğitim Yardımı (Çocuk-Yükseköğretim)</t>
  </si>
  <si>
    <t xml:space="preserve">   Toplam Kazanç
   Net</t>
  </si>
  <si>
    <t>İşveren Maliyeti</t>
  </si>
  <si>
    <r>
      <t xml:space="preserve">   Sonraki Ayın 1'inde
   </t>
    </r>
    <r>
      <rPr>
        <b/>
        <sz val="16"/>
        <rFont val="Calibri"/>
        <family val="2"/>
        <charset val="162"/>
        <scheme val="minor"/>
      </rPr>
      <t>Net</t>
    </r>
  </si>
  <si>
    <t>a) 3 yaşını doldurmamış çocuğu evlat edinen eşlerden birine veya evlat edinene çocuğun aileye fiilen teslim edildiği tarihten itibaren 8 hafta analık hâli izni kullandırılır.
(4857 sayılı İş Kanunu / Madde 74)</t>
  </si>
  <si>
    <t>Miktar</t>
  </si>
  <si>
    <t xml:space="preserve">   BES Kesintisi</t>
  </si>
  <si>
    <t>Toplam</t>
  </si>
  <si>
    <t>Ortalama</t>
  </si>
  <si>
    <t>Fazla Çalışma (% 50)</t>
  </si>
  <si>
    <t>Fazla Sürelerle Çalışma (% 25)</t>
  </si>
  <si>
    <t>Resmi Tatillerde Çalışma (% 100)</t>
  </si>
  <si>
    <t>Gece Çalışma (% 12)</t>
  </si>
  <si>
    <r>
      <t xml:space="preserve">   Resmi Tatillerde Çalışma
   </t>
    </r>
    <r>
      <rPr>
        <b/>
        <sz val="16"/>
        <rFont val="Calibri"/>
        <family val="2"/>
        <charset val="162"/>
        <scheme val="minor"/>
      </rPr>
      <t>% 100</t>
    </r>
  </si>
  <si>
    <r>
      <t xml:space="preserve">   Sonraki Ayın 15'inde
   Fazla Çalışma (Gündüz-Gece-Resmi Tatil)
   Yemek Yardımı
   </t>
    </r>
    <r>
      <rPr>
        <b/>
        <sz val="16"/>
        <rFont val="Calibri"/>
        <family val="2"/>
        <charset val="162"/>
        <scheme val="minor"/>
      </rPr>
      <t>Net</t>
    </r>
  </si>
  <si>
    <t xml:space="preserve">   Engellilik İndirimi</t>
  </si>
  <si>
    <r>
      <t xml:space="preserve">   Gece Çalışma
   </t>
    </r>
    <r>
      <rPr>
        <b/>
        <sz val="16"/>
        <rFont val="Calibri"/>
        <family val="2"/>
        <charset val="162"/>
        <scheme val="minor"/>
      </rPr>
      <t>% 15</t>
    </r>
  </si>
  <si>
    <r>
      <t xml:space="preserve">   Fazla Sürelerle Çalışma
   </t>
    </r>
    <r>
      <rPr>
        <b/>
        <sz val="16"/>
        <rFont val="Calibri"/>
        <family val="2"/>
        <charset val="162"/>
        <scheme val="minor"/>
      </rPr>
      <t>% 30</t>
    </r>
  </si>
  <si>
    <r>
      <t xml:space="preserve">   Fazla Çalışma
   </t>
    </r>
    <r>
      <rPr>
        <b/>
        <sz val="16"/>
        <rFont val="Calibri"/>
        <family val="2"/>
        <charset val="162"/>
        <scheme val="minor"/>
      </rPr>
      <t>% 60</t>
    </r>
  </si>
  <si>
    <r>
      <t xml:space="preserve">Eylül &gt; Aralık
</t>
    </r>
    <r>
      <rPr>
        <b/>
        <sz val="20"/>
        <color rgb="FFFF0000"/>
        <rFont val="Calibri"/>
        <family val="2"/>
        <charset val="162"/>
        <scheme val="minor"/>
      </rPr>
      <t>+%15 Zam (Tahmini)</t>
    </r>
  </si>
  <si>
    <r>
      <t xml:space="preserve">Ocak &gt; Şubat
</t>
    </r>
    <r>
      <rPr>
        <b/>
        <sz val="20"/>
        <color rgb="FFFF0000"/>
        <rFont val="Calibri"/>
        <family val="2"/>
        <charset val="162"/>
        <scheme val="minor"/>
      </rPr>
      <t>(Resmi)</t>
    </r>
  </si>
  <si>
    <t>Ocak</t>
  </si>
  <si>
    <t>Şubat</t>
  </si>
  <si>
    <t>Mart</t>
  </si>
  <si>
    <t>Nisan</t>
  </si>
  <si>
    <t>Mayıs</t>
  </si>
  <si>
    <t>Haziran</t>
  </si>
  <si>
    <t>Temmuz</t>
  </si>
  <si>
    <t>Ağustos</t>
  </si>
  <si>
    <t>Eylül</t>
  </si>
  <si>
    <t>Ekim</t>
  </si>
  <si>
    <t>Kasım</t>
  </si>
  <si>
    <t>Aralık</t>
  </si>
  <si>
    <r>
      <t xml:space="preserve">Mart &gt; Ağustos
</t>
    </r>
    <r>
      <rPr>
        <b/>
        <sz val="20"/>
        <color rgb="FFFF0000"/>
        <rFont val="Calibri"/>
        <family val="2"/>
        <charset val="162"/>
        <scheme val="minor"/>
      </rPr>
      <t>(Resmi)</t>
    </r>
  </si>
  <si>
    <t>Satış Görevlisi (Vapur Kafe)</t>
  </si>
  <si>
    <r>
      <t xml:space="preserve">a) Kadın işçilerin </t>
    </r>
    <r>
      <rPr>
        <b/>
        <sz val="16"/>
        <color theme="0"/>
        <rFont val="Calibri"/>
        <family val="2"/>
        <charset val="162"/>
        <scheme val="minor"/>
      </rPr>
      <t>doğumdan önce 8 ve doğumdan sonra 8 hafta</t>
    </r>
    <r>
      <rPr>
        <sz val="16"/>
        <color theme="0"/>
        <rFont val="Calibri"/>
        <family val="2"/>
        <charset val="162"/>
        <scheme val="minor"/>
      </rPr>
      <t xml:space="preserve"> olmak üzere toplam 16 haftalık süre için çalıştırılmamaları esastır.
(4857 sayılı İş Kanunu / Madde 74)</t>
    </r>
  </si>
  <si>
    <r>
      <t xml:space="preserve">a) İşçilerin en az %70 oranında engelli veya süreğen hastalığı olan çocuğunun tedavisinde, hastalık raporuna dayalı olarak ve çalışan ebeveynden sadece biri tarafından kullanılması kaydıyla, </t>
    </r>
    <r>
      <rPr>
        <b/>
        <sz val="16"/>
        <color theme="0"/>
        <rFont val="Calibri"/>
        <family val="2"/>
        <charset val="162"/>
        <scheme val="minor"/>
      </rPr>
      <t>bir yıl içinde toptan veya bölümler hâlinde 10 güne kadar</t>
    </r>
    <r>
      <rPr>
        <sz val="16"/>
        <color theme="0"/>
        <rFont val="Calibri"/>
        <family val="2"/>
        <charset val="162"/>
        <scheme val="minor"/>
      </rPr>
      <t xml:space="preserve"> ücretli izin verilir.
(4857 sayılı İş Kanunu / Ek Madde 2)</t>
    </r>
  </si>
  <si>
    <r>
      <t xml:space="preserve">a) İşçiye; evlat edinmesi hâlinde </t>
    </r>
    <r>
      <rPr>
        <b/>
        <sz val="16"/>
        <color theme="0"/>
        <rFont val="Calibri"/>
        <family val="2"/>
        <charset val="162"/>
        <scheme val="minor"/>
      </rPr>
      <t>3 gün</t>
    </r>
    <r>
      <rPr>
        <sz val="16"/>
        <color theme="0"/>
        <rFont val="Calibri"/>
        <family val="2"/>
        <charset val="162"/>
        <scheme val="minor"/>
      </rPr>
      <t xml:space="preserve"> ücretli izin verilir.
(4857 sayılı İş Kanunu / Ek Madde 2)</t>
    </r>
  </si>
  <si>
    <r>
      <t xml:space="preserve">a) Bildirim süreleri içinde işveren, işçiye yeni bir iş bulması için gerekli olan iş arama iznini iş saatleri içinde ve ücret kesintisi yapmadan vermeye mecburdur. İş arama izninin süresi </t>
    </r>
    <r>
      <rPr>
        <b/>
        <sz val="16"/>
        <color theme="0"/>
        <rFont val="Calibri"/>
        <family val="2"/>
        <charset val="162"/>
        <scheme val="minor"/>
      </rPr>
      <t>günde 2 saatten az olamaz</t>
    </r>
    <r>
      <rPr>
        <sz val="16"/>
        <color theme="0"/>
        <rFont val="Calibri"/>
        <family val="2"/>
        <charset val="162"/>
        <scheme val="minor"/>
      </rPr>
      <t xml:space="preserve"> ve işçi isterse iş arama izin saatlerini birleştirerek toplu kullanabilir.
(4857 sayılı İş Kanunu / Madde 27)</t>
    </r>
  </si>
  <si>
    <r>
      <t xml:space="preserve">a) Kadın işçilere bir yaşından küçük çocuklarını emzirmeleri için </t>
    </r>
    <r>
      <rPr>
        <b/>
        <sz val="16"/>
        <color theme="0"/>
        <rFont val="Calibri"/>
        <family val="2"/>
        <charset val="162"/>
        <scheme val="minor"/>
      </rPr>
      <t>günde toplam 1,5 saat</t>
    </r>
    <r>
      <rPr>
        <sz val="16"/>
        <color theme="0"/>
        <rFont val="Calibri"/>
        <family val="2"/>
        <charset val="162"/>
        <scheme val="minor"/>
      </rPr>
      <t xml:space="preserve"> süt izni verilir.
(4857 sayılı İş Kanunu / Madde 74)</t>
    </r>
  </si>
  <si>
    <r>
      <t xml:space="preserve">a) İşyerinde işçi sayısı 50’ye kadar ise yıllık en fazla 20 iş günü ücretli izin verilir.
İşyerinde işçi sayısı 51 ile 100 arasında ise yıllık en fazla 30 iş günü ücretli izin verilir.
İşyerinde işçi sayısı 101 ile 200 arasında ise yıllık en fazla 40 iş günü ücretli izin verilir.
İşyerinde işçi sayısı 201 ile 500 arasında ise yıllık en fazla 60 iş günü ücretli izin verilir.
İşyerinde işçi sayısı 501 ile 1000 arasında ise yıllık en fazla 80 iş günü ücretli izin verilir.
İşyerinde işçi sayısı 1000 işçiden fazla ise yıllık en fazla işçi sayısının % 10'u kadar iş günü ücretli sendikal izin verilir.
(6. Dönem Toplu İş Sözleşmesi / Madde 36)
b) Sendikal faaliyetler için sendikanın yazılı talebi üzerine ve işverenin hizmetlerini aksatmamak suretiyle, işçilere ayrı ayrı olmadan çalışan kişi sayısı karşılığına gelen gün kadar yıllık ücretli sendikal izin verilir.
c) Temsilcilik görevlerini yerine getirmeleri için baştemsilciye haftada 1 gün, diğer temsilcilere ayda 1’er gün ücretli sendikal izin verilir.
d) Toplu iş sözleşmesi yapmak üzere yetkisi kesinleşen sendika; 
işyerinde işçi sayısı </t>
    </r>
    <r>
      <rPr>
        <b/>
        <sz val="16"/>
        <color theme="0"/>
        <rFont val="Calibri"/>
        <family val="2"/>
        <charset val="162"/>
        <scheme val="minor"/>
      </rPr>
      <t>50’ye kadar ise 1</t>
    </r>
    <r>
      <rPr>
        <sz val="16"/>
        <color theme="0"/>
        <rFont val="Calibri"/>
        <family val="2"/>
        <charset val="162"/>
        <scheme val="minor"/>
      </rPr>
      <t xml:space="preserve">,
</t>
    </r>
    <r>
      <rPr>
        <b/>
        <sz val="16"/>
        <color theme="0"/>
        <rFont val="Calibri"/>
        <family val="2"/>
        <charset val="162"/>
        <scheme val="minor"/>
      </rPr>
      <t>51 ile 100 arasında</t>
    </r>
    <r>
      <rPr>
        <sz val="16"/>
        <color theme="0"/>
        <rFont val="Calibri"/>
        <family val="2"/>
        <charset val="162"/>
        <scheme val="minor"/>
      </rPr>
      <t xml:space="preserve"> ise </t>
    </r>
    <r>
      <rPr>
        <b/>
        <sz val="16"/>
        <color theme="0"/>
        <rFont val="Calibri"/>
        <family val="2"/>
        <charset val="162"/>
        <scheme val="minor"/>
      </rPr>
      <t>en çok 2</t>
    </r>
    <r>
      <rPr>
        <sz val="16"/>
        <color theme="0"/>
        <rFont val="Calibri"/>
        <family val="2"/>
        <charset val="162"/>
        <scheme val="minor"/>
      </rPr>
      <t xml:space="preserve">,
</t>
    </r>
    <r>
      <rPr>
        <b/>
        <sz val="16"/>
        <color theme="0"/>
        <rFont val="Calibri"/>
        <family val="2"/>
        <charset val="162"/>
        <scheme val="minor"/>
      </rPr>
      <t>101 ile 500 arasında</t>
    </r>
    <r>
      <rPr>
        <sz val="16"/>
        <color theme="0"/>
        <rFont val="Calibri"/>
        <family val="2"/>
        <charset val="162"/>
        <scheme val="minor"/>
      </rPr>
      <t xml:space="preserve"> ise </t>
    </r>
    <r>
      <rPr>
        <b/>
        <sz val="16"/>
        <color theme="0"/>
        <rFont val="Calibri"/>
        <family val="2"/>
        <charset val="162"/>
        <scheme val="minor"/>
      </rPr>
      <t>en çok 3</t>
    </r>
    <r>
      <rPr>
        <sz val="16"/>
        <color theme="0"/>
        <rFont val="Calibri"/>
        <family val="2"/>
        <charset val="162"/>
        <scheme val="minor"/>
      </rPr>
      <t xml:space="preserve">,
</t>
    </r>
    <r>
      <rPr>
        <b/>
        <sz val="16"/>
        <color theme="0"/>
        <rFont val="Calibri"/>
        <family val="2"/>
        <charset val="162"/>
        <scheme val="minor"/>
      </rPr>
      <t>501 ile 1000 arasında</t>
    </r>
    <r>
      <rPr>
        <sz val="16"/>
        <color theme="0"/>
        <rFont val="Calibri"/>
        <family val="2"/>
        <charset val="162"/>
        <scheme val="minor"/>
      </rPr>
      <t xml:space="preserve"> ise </t>
    </r>
    <r>
      <rPr>
        <b/>
        <sz val="16"/>
        <color theme="0"/>
        <rFont val="Calibri"/>
        <family val="2"/>
        <charset val="162"/>
        <scheme val="minor"/>
      </rPr>
      <t>en çok 4</t>
    </r>
    <r>
      <rPr>
        <sz val="16"/>
        <color theme="0"/>
        <rFont val="Calibri"/>
        <family val="2"/>
        <charset val="162"/>
        <scheme val="minor"/>
      </rPr>
      <t xml:space="preserve">,
</t>
    </r>
    <r>
      <rPr>
        <b/>
        <sz val="16"/>
        <color theme="0"/>
        <rFont val="Calibri"/>
        <family val="2"/>
        <charset val="162"/>
        <scheme val="minor"/>
      </rPr>
      <t>1001 ile 2000 arasında</t>
    </r>
    <r>
      <rPr>
        <sz val="16"/>
        <color theme="0"/>
        <rFont val="Calibri"/>
        <family val="2"/>
        <charset val="162"/>
        <scheme val="minor"/>
      </rPr>
      <t xml:space="preserve"> ise </t>
    </r>
    <r>
      <rPr>
        <b/>
        <sz val="16"/>
        <color theme="0"/>
        <rFont val="Calibri"/>
        <family val="2"/>
        <charset val="162"/>
        <scheme val="minor"/>
      </rPr>
      <t>en çok 6</t>
    </r>
    <r>
      <rPr>
        <sz val="16"/>
        <color theme="0"/>
        <rFont val="Calibri"/>
        <family val="2"/>
        <charset val="162"/>
        <scheme val="minor"/>
      </rPr>
      <t xml:space="preserve">,
</t>
    </r>
    <r>
      <rPr>
        <b/>
        <sz val="16"/>
        <color theme="0"/>
        <rFont val="Calibri"/>
        <family val="2"/>
        <charset val="162"/>
        <scheme val="minor"/>
      </rPr>
      <t>2000’den fazla</t>
    </r>
    <r>
      <rPr>
        <sz val="16"/>
        <color theme="0"/>
        <rFont val="Calibri"/>
        <family val="2"/>
        <charset val="162"/>
        <scheme val="minor"/>
      </rPr>
      <t xml:space="preserve"> ise </t>
    </r>
    <r>
      <rPr>
        <b/>
        <sz val="16"/>
        <color theme="0"/>
        <rFont val="Calibri"/>
        <family val="2"/>
        <charset val="162"/>
        <scheme val="minor"/>
      </rPr>
      <t>en çok 8</t>
    </r>
    <r>
      <rPr>
        <sz val="16"/>
        <color theme="0"/>
        <rFont val="Calibri"/>
        <family val="2"/>
        <charset val="162"/>
        <scheme val="minor"/>
      </rPr>
      <t xml:space="preserve"> işyeri sendika temsilcisini işyerinde çalışan üyeleri arasından atayarak </t>
    </r>
    <r>
      <rPr>
        <b/>
        <sz val="16"/>
        <color theme="0"/>
        <rFont val="Calibri"/>
        <family val="2"/>
        <charset val="162"/>
        <scheme val="minor"/>
      </rPr>
      <t>15 gün içinde</t>
    </r>
    <r>
      <rPr>
        <sz val="16"/>
        <color theme="0"/>
        <rFont val="Calibri"/>
        <family val="2"/>
        <charset val="162"/>
        <scheme val="minor"/>
      </rPr>
      <t xml:space="preserve"> kimliklerini işverene bildirir. Bunlardan </t>
    </r>
    <r>
      <rPr>
        <b/>
        <sz val="16"/>
        <color theme="0"/>
        <rFont val="Calibri"/>
        <family val="2"/>
        <charset val="162"/>
        <scheme val="minor"/>
      </rPr>
      <t>biri baş temsilci</t>
    </r>
    <r>
      <rPr>
        <sz val="16"/>
        <color theme="0"/>
        <rFont val="Calibri"/>
        <family val="2"/>
        <charset val="162"/>
        <scheme val="minor"/>
      </rPr>
      <t xml:space="preserve"> olarak görevlendirilebilir. Temsilcilerin görevi, sendikanın yetkisi süresince devam eder.
(6356 sayılı Sendikalar ve Toplu İş Sözleşmesi Kanunu / Madde 27)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</si>
</sst>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dd/mm/yyyy;@"/>
    <numFmt numFmtId="165" formatCode="0\ &quot;Gün&quot;"/>
    <numFmt numFmtId="166" formatCode="#,##0.00\ &quot;₺&quot;"/>
    <numFmt numFmtId="167" formatCode="0.000000"/>
    <numFmt numFmtId="168" formatCode="%\ 0"/>
    <numFmt numFmtId="169" formatCode="%\ 0.00"/>
    <numFmt numFmtId="170" formatCode="0.0000000"/>
    <numFmt numFmtId="171" formatCode="0.0"/>
  </numFmts>
  <fonts count="15" x14ac:knownFonts="1">
    <font>
      <sz val="11"/>
      <color rgb="FF000000"/>
      <name val="Calibri"/>
      <family val="2"/>
      <charset val="1"/>
    </font>
    <font>
      <sz val="11"/>
      <color rgb="FF000000"/>
      <name val="Calibri"/>
      <family val="2"/>
      <charset val="162"/>
    </font>
    <font>
      <sz val="11"/>
      <color rgb="FF000000"/>
      <name val="Calibri"/>
      <family val="2"/>
      <charset val="1"/>
    </font>
    <font>
      <sz val="10"/>
      <name val="Arial Tur"/>
      <charset val="162"/>
    </font>
    <font>
      <sz val="8"/>
      <name val="Calibri"/>
      <family val="2"/>
      <charset val="1"/>
    </font>
    <font>
      <sz val="16"/>
      <name val="Calibri"/>
      <family val="2"/>
      <charset val="162"/>
      <scheme val="minor"/>
    </font>
    <font>
      <b/>
      <sz val="16"/>
      <name val="Calibri"/>
      <family val="2"/>
      <charset val="162"/>
      <scheme val="minor"/>
    </font>
    <font>
      <sz val="16"/>
      <color rgb="FFFF0000"/>
      <name val="Calibri"/>
      <family val="2"/>
      <charset val="162"/>
      <scheme val="minor"/>
    </font>
    <font>
      <sz val="20"/>
      <name val="Calibri"/>
      <family val="2"/>
      <charset val="162"/>
      <scheme val="minor"/>
    </font>
    <font>
      <b/>
      <sz val="22"/>
      <name val="Calibri"/>
      <family val="2"/>
      <charset val="162"/>
      <scheme val="minor"/>
    </font>
    <font>
      <b/>
      <sz val="22"/>
      <color rgb="FFFF0000"/>
      <name val="Calibri"/>
      <family val="2"/>
      <charset val="162"/>
      <scheme val="minor"/>
    </font>
    <font>
      <sz val="15"/>
      <name val="Calibri"/>
      <family val="2"/>
      <charset val="162"/>
      <scheme val="minor"/>
    </font>
    <font>
      <b/>
      <sz val="20"/>
      <color rgb="FFFF0000"/>
      <name val="Calibri"/>
      <family val="2"/>
      <charset val="162"/>
      <scheme val="minor"/>
    </font>
    <font>
      <sz val="16"/>
      <color theme="0"/>
      <name val="Calibri"/>
      <family val="2"/>
      <charset val="162"/>
      <scheme val="minor"/>
    </font>
    <font>
      <b/>
      <sz val="16"/>
      <color theme="0"/>
      <name val="Calibri"/>
      <family val="2"/>
      <charset val="162"/>
      <scheme val="minor"/>
    </font>
  </fonts>
  <fills count="7">
    <fill>
      <patternFill patternType="none"/>
    </fill>
    <fill>
      <patternFill patternType="gray125"/>
    </fill>
    <fill>
      <patternFill patternType="solid">
        <fgColor theme="0" tint="-0.14999847407452621"/>
        <bgColor indexed="64"/>
      </patternFill>
    </fill>
    <fill>
      <patternFill patternType="solid">
        <fgColor rgb="FFC8E1B4"/>
        <bgColor indexed="64"/>
      </patternFill>
    </fill>
    <fill>
      <patternFill patternType="solid">
        <fgColor theme="8" tint="0.79998168889431442"/>
        <bgColor indexed="64"/>
      </patternFill>
    </fill>
    <fill>
      <patternFill patternType="solid">
        <fgColor rgb="FFC8E1B4"/>
        <bgColor rgb="FFC5E0B4"/>
      </patternFill>
    </fill>
    <fill>
      <patternFill patternType="solid">
        <fgColor theme="0"/>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s>
  <cellStyleXfs count="6">
    <xf numFmtId="0" fontId="0" fillId="0" borderId="0"/>
    <xf numFmtId="0" fontId="1" fillId="0" borderId="0"/>
    <xf numFmtId="0" fontId="3" fillId="0" borderId="0"/>
    <xf numFmtId="0" fontId="2" fillId="0" borderId="0"/>
    <xf numFmtId="9" fontId="3" fillId="0" borderId="0" applyFont="0" applyFill="0" applyBorder="0" applyAlignment="0" applyProtection="0"/>
    <xf numFmtId="0" fontId="3" fillId="0" borderId="0" applyFont="0" applyFill="0" applyBorder="0" applyAlignment="0" applyProtection="0"/>
  </cellStyleXfs>
  <cellXfs count="83">
    <xf numFmtId="0" fontId="0" fillId="0" borderId="0" xfId="0"/>
    <xf numFmtId="0" fontId="5" fillId="2" borderId="1" xfId="2" applyFont="1" applyFill="1" applyBorder="1" applyAlignment="1" applyProtection="1">
      <alignment horizontal="center" vertical="center" wrapText="1"/>
      <protection hidden="1"/>
    </xf>
    <xf numFmtId="0" fontId="5" fillId="0" borderId="0" xfId="2" applyFont="1" applyAlignment="1" applyProtection="1">
      <alignment horizontal="center" vertical="center" wrapText="1"/>
      <protection hidden="1"/>
    </xf>
    <xf numFmtId="4" fontId="5" fillId="2" borderId="1" xfId="2" applyNumberFormat="1" applyFont="1" applyFill="1" applyBorder="1" applyAlignment="1" applyProtection="1">
      <alignment horizontal="center" vertical="center" wrapText="1"/>
      <protection hidden="1"/>
    </xf>
    <xf numFmtId="169" fontId="11" fillId="2" borderId="1" xfId="2" applyNumberFormat="1" applyFont="1" applyFill="1" applyBorder="1" applyAlignment="1" applyProtection="1">
      <alignment horizontal="center" vertical="center" wrapText="1"/>
      <protection hidden="1"/>
    </xf>
    <xf numFmtId="166" fontId="9" fillId="4" borderId="1" xfId="2" applyNumberFormat="1" applyFont="1" applyFill="1" applyBorder="1" applyAlignment="1" applyProtection="1">
      <alignment horizontal="center" vertical="center" wrapText="1"/>
      <protection hidden="1"/>
    </xf>
    <xf numFmtId="166" fontId="10" fillId="4" borderId="1" xfId="2" applyNumberFormat="1" applyFont="1" applyFill="1" applyBorder="1" applyAlignment="1" applyProtection="1">
      <alignment horizontal="center" vertical="center" wrapText="1"/>
      <protection hidden="1"/>
    </xf>
    <xf numFmtId="4" fontId="11" fillId="2" borderId="1" xfId="2" applyNumberFormat="1" applyFont="1" applyFill="1" applyBorder="1" applyAlignment="1" applyProtection="1">
      <alignment horizontal="center" vertical="center" wrapText="1"/>
      <protection hidden="1"/>
    </xf>
    <xf numFmtId="166" fontId="9" fillId="2" borderId="1" xfId="2" applyNumberFormat="1" applyFont="1" applyFill="1" applyBorder="1" applyAlignment="1" applyProtection="1">
      <alignment horizontal="center" vertical="center" wrapText="1"/>
      <protection hidden="1"/>
    </xf>
    <xf numFmtId="166" fontId="10" fillId="2" borderId="1" xfId="2" applyNumberFormat="1" applyFont="1" applyFill="1" applyBorder="1" applyAlignment="1" applyProtection="1">
      <alignment horizontal="center" vertical="center" wrapText="1"/>
      <protection hidden="1"/>
    </xf>
    <xf numFmtId="1" fontId="5" fillId="2" borderId="1" xfId="2" applyNumberFormat="1" applyFont="1" applyFill="1" applyBorder="1" applyAlignment="1" applyProtection="1">
      <alignment horizontal="center" vertical="center" wrapText="1"/>
      <protection hidden="1"/>
    </xf>
    <xf numFmtId="0" fontId="5" fillId="0" borderId="0" xfId="2" applyFont="1" applyAlignment="1" applyProtection="1">
      <alignment horizontal="right" vertical="center" wrapText="1"/>
      <protection hidden="1"/>
    </xf>
    <xf numFmtId="171" fontId="5" fillId="2" borderId="1" xfId="2" applyNumberFormat="1" applyFont="1" applyFill="1" applyBorder="1" applyAlignment="1" applyProtection="1">
      <alignment horizontal="center" vertical="center" wrapText="1"/>
      <protection hidden="1"/>
    </xf>
    <xf numFmtId="0" fontId="13" fillId="6" borderId="0" xfId="2" applyFont="1" applyFill="1" applyAlignment="1" applyProtection="1">
      <alignment horizontal="center" vertical="center" wrapText="1"/>
      <protection hidden="1"/>
    </xf>
    <xf numFmtId="166" fontId="13" fillId="6" borderId="0" xfId="2" applyNumberFormat="1" applyFont="1" applyFill="1" applyAlignment="1" applyProtection="1">
      <alignment horizontal="center" vertical="center" wrapText="1"/>
      <protection hidden="1"/>
    </xf>
    <xf numFmtId="165" fontId="13" fillId="6" borderId="0" xfId="2" applyNumberFormat="1" applyFont="1" applyFill="1" applyAlignment="1" applyProtection="1">
      <alignment horizontal="center" vertical="center" wrapText="1"/>
      <protection hidden="1"/>
    </xf>
    <xf numFmtId="169" fontId="13" fillId="6" borderId="0" xfId="2" applyNumberFormat="1" applyFont="1" applyFill="1" applyAlignment="1" applyProtection="1">
      <alignment horizontal="center" vertical="center" wrapText="1"/>
      <protection hidden="1"/>
    </xf>
    <xf numFmtId="0" fontId="13" fillId="6" borderId="0" xfId="3" applyFont="1" applyFill="1" applyAlignment="1" applyProtection="1">
      <alignment horizontal="center" vertical="center" wrapText="1"/>
      <protection hidden="1"/>
    </xf>
    <xf numFmtId="2" fontId="13" fillId="6" borderId="0" xfId="3" applyNumberFormat="1" applyFont="1" applyFill="1" applyAlignment="1" applyProtection="1">
      <alignment horizontal="center" vertical="center" wrapText="1"/>
      <protection hidden="1"/>
    </xf>
    <xf numFmtId="4" fontId="13" fillId="6" borderId="0" xfId="2" applyNumberFormat="1" applyFont="1" applyFill="1" applyAlignment="1" applyProtection="1">
      <alignment horizontal="center" vertical="center" wrapText="1"/>
      <protection hidden="1"/>
    </xf>
    <xf numFmtId="164" fontId="13" fillId="6" borderId="0" xfId="2" applyNumberFormat="1" applyFont="1" applyFill="1" applyAlignment="1" applyProtection="1">
      <alignment horizontal="center" vertical="center" wrapText="1"/>
      <protection hidden="1"/>
    </xf>
    <xf numFmtId="164" fontId="13" fillId="6" borderId="0" xfId="0" applyNumberFormat="1" applyFont="1" applyFill="1" applyAlignment="1" applyProtection="1">
      <alignment horizontal="center" vertical="center" wrapText="1"/>
      <protection hidden="1"/>
    </xf>
    <xf numFmtId="165" fontId="13" fillId="6" borderId="0" xfId="0" applyNumberFormat="1" applyFont="1" applyFill="1" applyAlignment="1" applyProtection="1">
      <alignment horizontal="center" vertical="center" wrapText="1"/>
      <protection hidden="1"/>
    </xf>
    <xf numFmtId="166" fontId="13" fillId="6" borderId="0" xfId="0" applyNumberFormat="1" applyFont="1" applyFill="1" applyAlignment="1" applyProtection="1">
      <alignment horizontal="center" vertical="center" wrapText="1"/>
      <protection hidden="1"/>
    </xf>
    <xf numFmtId="3" fontId="13" fillId="6" borderId="0" xfId="2" applyNumberFormat="1" applyFont="1" applyFill="1" applyAlignment="1" applyProtection="1">
      <alignment horizontal="center" vertical="center" wrapText="1"/>
      <protection hidden="1"/>
    </xf>
    <xf numFmtId="2" fontId="13" fillId="6" borderId="0" xfId="2" applyNumberFormat="1" applyFont="1" applyFill="1" applyAlignment="1" applyProtection="1">
      <alignment horizontal="center" vertical="center" wrapText="1"/>
      <protection hidden="1"/>
    </xf>
    <xf numFmtId="2" fontId="13" fillId="6" borderId="0" xfId="0" applyNumberFormat="1" applyFont="1" applyFill="1" applyAlignment="1" applyProtection="1">
      <alignment horizontal="center" vertical="center" wrapText="1"/>
      <protection hidden="1"/>
    </xf>
    <xf numFmtId="170" fontId="13" fillId="6" borderId="0" xfId="2" applyNumberFormat="1" applyFont="1" applyFill="1" applyAlignment="1" applyProtection="1">
      <alignment horizontal="center" vertical="center" wrapText="1"/>
      <protection hidden="1"/>
    </xf>
    <xf numFmtId="166" fontId="13" fillId="6" borderId="0" xfId="3" applyNumberFormat="1" applyFont="1" applyFill="1" applyAlignment="1" applyProtection="1">
      <alignment horizontal="center" vertical="center" wrapText="1"/>
      <protection hidden="1"/>
    </xf>
    <xf numFmtId="168" fontId="13" fillId="6" borderId="0" xfId="2" applyNumberFormat="1" applyFont="1" applyFill="1" applyAlignment="1" applyProtection="1">
      <alignment horizontal="center" vertical="center" wrapText="1"/>
      <protection hidden="1"/>
    </xf>
    <xf numFmtId="169" fontId="13" fillId="6" borderId="0" xfId="4" applyNumberFormat="1" applyFont="1" applyFill="1" applyBorder="1" applyAlignment="1" applyProtection="1">
      <alignment horizontal="center" vertical="center" wrapText="1"/>
      <protection hidden="1"/>
    </xf>
    <xf numFmtId="167" fontId="13" fillId="6" borderId="0" xfId="2" applyNumberFormat="1" applyFont="1" applyFill="1" applyAlignment="1" applyProtection="1">
      <alignment horizontal="center" vertical="center" wrapText="1"/>
      <protection hidden="1"/>
    </xf>
    <xf numFmtId="166" fontId="13" fillId="6" borderId="0" xfId="4" applyNumberFormat="1" applyFont="1" applyFill="1" applyBorder="1" applyAlignment="1" applyProtection="1">
      <alignment horizontal="center" vertical="center" wrapText="1"/>
      <protection hidden="1"/>
    </xf>
    <xf numFmtId="49" fontId="13" fillId="6" borderId="0" xfId="3" applyNumberFormat="1" applyFont="1" applyFill="1" applyAlignment="1" applyProtection="1">
      <alignment horizontal="center" vertical="center" wrapText="1"/>
      <protection hidden="1"/>
    </xf>
    <xf numFmtId="0" fontId="13" fillId="6" borderId="0" xfId="0" applyFont="1" applyFill="1" applyAlignment="1" applyProtection="1">
      <alignment horizontal="center" vertical="center" wrapText="1"/>
      <protection hidden="1"/>
    </xf>
    <xf numFmtId="0" fontId="13" fillId="6" borderId="0" xfId="0" applyFont="1" applyFill="1" applyAlignment="1" applyProtection="1">
      <alignment horizontal="right" vertical="center" wrapText="1"/>
      <protection hidden="1"/>
    </xf>
    <xf numFmtId="49" fontId="13" fillId="6" borderId="0" xfId="0" applyNumberFormat="1" applyFont="1" applyFill="1" applyAlignment="1" applyProtection="1">
      <alignment horizontal="center" vertical="center" wrapText="1"/>
      <protection hidden="1"/>
    </xf>
    <xf numFmtId="49" fontId="13" fillId="6" borderId="0" xfId="2" applyNumberFormat="1" applyFont="1" applyFill="1" applyAlignment="1" applyProtection="1">
      <alignment horizontal="center" vertical="center" wrapText="1"/>
      <protection hidden="1"/>
    </xf>
    <xf numFmtId="2" fontId="13" fillId="6" borderId="0" xfId="2" applyNumberFormat="1" applyFont="1" applyFill="1" applyAlignment="1" applyProtection="1">
      <alignment horizontal="right" vertical="center" wrapText="1"/>
      <protection hidden="1"/>
    </xf>
    <xf numFmtId="1" fontId="5" fillId="3" borderId="1" xfId="2" applyNumberFormat="1" applyFont="1" applyFill="1" applyBorder="1" applyAlignment="1" applyProtection="1">
      <alignment horizontal="center" vertical="center" wrapText="1"/>
      <protection locked="0" hidden="1"/>
    </xf>
    <xf numFmtId="171" fontId="5" fillId="3" borderId="1" xfId="3" applyNumberFormat="1" applyFont="1" applyFill="1" applyBorder="1" applyAlignment="1" applyProtection="1">
      <alignment horizontal="center" vertical="center" wrapText="1"/>
      <protection locked="0" hidden="1"/>
    </xf>
    <xf numFmtId="0" fontId="5" fillId="3" borderId="1" xfId="2" applyFont="1" applyFill="1" applyBorder="1" applyAlignment="1" applyProtection="1">
      <alignment horizontal="center" vertical="center" wrapText="1"/>
      <protection locked="0" hidden="1"/>
    </xf>
    <xf numFmtId="2" fontId="5" fillId="5" borderId="1" xfId="2" applyNumberFormat="1" applyFont="1" applyFill="1" applyBorder="1" applyAlignment="1" applyProtection="1">
      <alignment horizontal="center" vertical="center" wrapText="1"/>
      <protection locked="0" hidden="1"/>
    </xf>
    <xf numFmtId="168" fontId="5" fillId="3" borderId="1" xfId="2" applyNumberFormat="1" applyFont="1" applyFill="1" applyBorder="1" applyAlignment="1" applyProtection="1">
      <alignment horizontal="center" vertical="center" wrapText="1"/>
      <protection locked="0" hidden="1"/>
    </xf>
    <xf numFmtId="2" fontId="5" fillId="2" borderId="1" xfId="2" applyNumberFormat="1" applyFont="1" applyFill="1" applyBorder="1" applyAlignment="1" applyProtection="1">
      <alignment horizontal="center" textRotation="90" wrapText="1"/>
      <protection hidden="1"/>
    </xf>
    <xf numFmtId="2" fontId="5" fillId="2" borderId="5" xfId="2" applyNumberFormat="1" applyFont="1" applyFill="1" applyBorder="1" applyAlignment="1" applyProtection="1">
      <alignment horizontal="center" textRotation="90" wrapText="1"/>
      <protection hidden="1"/>
    </xf>
    <xf numFmtId="2" fontId="5" fillId="2" borderId="6" xfId="2" applyNumberFormat="1" applyFont="1" applyFill="1" applyBorder="1" applyAlignment="1" applyProtection="1">
      <alignment horizontal="center" textRotation="90" wrapText="1"/>
      <protection hidden="1"/>
    </xf>
    <xf numFmtId="2" fontId="5" fillId="2" borderId="7" xfId="2" applyNumberFormat="1" applyFont="1" applyFill="1" applyBorder="1" applyAlignment="1" applyProtection="1">
      <alignment horizontal="center" textRotation="90" wrapText="1"/>
      <protection hidden="1"/>
    </xf>
    <xf numFmtId="2" fontId="5" fillId="2" borderId="8" xfId="2" applyNumberFormat="1" applyFont="1" applyFill="1" applyBorder="1" applyAlignment="1" applyProtection="1">
      <alignment horizontal="center" textRotation="90" wrapText="1"/>
      <protection hidden="1"/>
    </xf>
    <xf numFmtId="2" fontId="5" fillId="2" borderId="0" xfId="2" applyNumberFormat="1" applyFont="1" applyFill="1" applyAlignment="1" applyProtection="1">
      <alignment horizontal="center" textRotation="90" wrapText="1"/>
      <protection hidden="1"/>
    </xf>
    <xf numFmtId="2" fontId="5" fillId="2" borderId="9" xfId="2" applyNumberFormat="1" applyFont="1" applyFill="1" applyBorder="1" applyAlignment="1" applyProtection="1">
      <alignment horizontal="center" textRotation="90" wrapText="1"/>
      <protection hidden="1"/>
    </xf>
    <xf numFmtId="2" fontId="5" fillId="2" borderId="2" xfId="2" applyNumberFormat="1" applyFont="1" applyFill="1" applyBorder="1" applyAlignment="1" applyProtection="1">
      <alignment horizontal="center" textRotation="90" wrapText="1"/>
      <protection hidden="1"/>
    </xf>
    <xf numFmtId="2" fontId="5" fillId="2" borderId="3" xfId="2" applyNumberFormat="1" applyFont="1" applyFill="1" applyBorder="1" applyAlignment="1" applyProtection="1">
      <alignment horizontal="center" textRotation="90" wrapText="1"/>
      <protection hidden="1"/>
    </xf>
    <xf numFmtId="2" fontId="5" fillId="2" borderId="4" xfId="2" applyNumberFormat="1" applyFont="1" applyFill="1" applyBorder="1" applyAlignment="1" applyProtection="1">
      <alignment horizontal="center" textRotation="90" wrapText="1"/>
      <protection hidden="1"/>
    </xf>
    <xf numFmtId="0" fontId="5" fillId="2" borderId="14" xfId="0" applyFont="1" applyFill="1" applyBorder="1" applyAlignment="1" applyProtection="1">
      <alignment horizontal="center" vertical="center" wrapText="1"/>
      <protection hidden="1"/>
    </xf>
    <xf numFmtId="0" fontId="5" fillId="2" borderId="12" xfId="0" applyFont="1" applyFill="1" applyBorder="1" applyAlignment="1" applyProtection="1">
      <alignment horizontal="center" vertical="center" wrapText="1"/>
      <protection hidden="1"/>
    </xf>
    <xf numFmtId="0" fontId="5" fillId="2" borderId="13" xfId="0" applyFont="1" applyFill="1" applyBorder="1" applyAlignment="1" applyProtection="1">
      <alignment horizontal="center" vertical="center" wrapText="1"/>
      <protection hidden="1"/>
    </xf>
    <xf numFmtId="0" fontId="5" fillId="0" borderId="14" xfId="2" applyFont="1" applyBorder="1" applyAlignment="1" applyProtection="1">
      <alignment horizontal="center" vertical="center" wrapText="1"/>
      <protection hidden="1"/>
    </xf>
    <xf numFmtId="0" fontId="5" fillId="0" borderId="12" xfId="2" applyFont="1" applyBorder="1" applyAlignment="1" applyProtection="1">
      <alignment horizontal="center" vertical="center" wrapText="1"/>
      <protection hidden="1"/>
    </xf>
    <xf numFmtId="0" fontId="5" fillId="0" borderId="13" xfId="2" applyFont="1" applyBorder="1" applyAlignment="1" applyProtection="1">
      <alignment horizontal="center" vertical="center" wrapText="1"/>
      <protection hidden="1"/>
    </xf>
    <xf numFmtId="2" fontId="5" fillId="2" borderId="1" xfId="0" applyNumberFormat="1" applyFont="1" applyFill="1" applyBorder="1" applyAlignment="1" applyProtection="1">
      <alignment horizontal="center" textRotation="90" wrapText="1"/>
      <protection hidden="1"/>
    </xf>
    <xf numFmtId="0" fontId="5" fillId="2" borderId="9" xfId="0" applyFont="1" applyFill="1" applyBorder="1" applyAlignment="1" applyProtection="1">
      <alignment horizontal="center" vertical="center" wrapText="1"/>
      <protection hidden="1"/>
    </xf>
    <xf numFmtId="0" fontId="5" fillId="2" borderId="0" xfId="0" applyFont="1" applyFill="1" applyAlignment="1" applyProtection="1">
      <alignment horizontal="left" vertical="center" wrapText="1"/>
      <protection hidden="1"/>
    </xf>
    <xf numFmtId="0" fontId="5" fillId="2" borderId="5" xfId="0" applyFont="1" applyFill="1" applyBorder="1" applyAlignment="1" applyProtection="1">
      <alignment horizontal="center" vertical="center" wrapText="1"/>
      <protection hidden="1"/>
    </xf>
    <xf numFmtId="0" fontId="5" fillId="2" borderId="6" xfId="0" applyFont="1" applyFill="1" applyBorder="1" applyAlignment="1" applyProtection="1">
      <alignment horizontal="center" vertical="center" wrapText="1"/>
      <protection hidden="1"/>
    </xf>
    <xf numFmtId="0" fontId="5" fillId="2" borderId="7" xfId="0" applyFont="1" applyFill="1" applyBorder="1" applyAlignment="1" applyProtection="1">
      <alignment horizontal="center" vertical="center" wrapText="1"/>
      <protection hidden="1"/>
    </xf>
    <xf numFmtId="0" fontId="5" fillId="3" borderId="1" xfId="2" applyFont="1" applyFill="1" applyBorder="1" applyAlignment="1" applyProtection="1">
      <alignment horizontal="center" vertical="center" textRotation="90" wrapText="1"/>
      <protection locked="0" hidden="1"/>
    </xf>
    <xf numFmtId="0" fontId="5" fillId="2" borderId="2" xfId="0" applyFont="1" applyFill="1" applyBorder="1" applyAlignment="1" applyProtection="1">
      <alignment horizontal="center" vertical="center" wrapText="1"/>
      <protection hidden="1"/>
    </xf>
    <xf numFmtId="0" fontId="5" fillId="2" borderId="3" xfId="0" applyFont="1" applyFill="1" applyBorder="1" applyAlignment="1" applyProtection="1">
      <alignment horizontal="center" vertical="center" wrapText="1"/>
      <protection hidden="1"/>
    </xf>
    <xf numFmtId="0" fontId="5" fillId="2" borderId="4" xfId="0" applyFont="1" applyFill="1" applyBorder="1" applyAlignment="1" applyProtection="1">
      <alignment horizontal="center" vertical="center" wrapText="1"/>
      <protection hidden="1"/>
    </xf>
    <xf numFmtId="0" fontId="5" fillId="2" borderId="1" xfId="2" applyFont="1" applyFill="1" applyBorder="1" applyAlignment="1" applyProtection="1">
      <alignment horizontal="center" vertical="center" wrapText="1"/>
      <protection hidden="1"/>
    </xf>
    <xf numFmtId="2" fontId="7" fillId="2" borderId="1" xfId="2" applyNumberFormat="1" applyFont="1" applyFill="1" applyBorder="1" applyAlignment="1" applyProtection="1">
      <alignment horizontal="center" textRotation="90" wrapText="1"/>
      <protection hidden="1"/>
    </xf>
    <xf numFmtId="0" fontId="5" fillId="2" borderId="8" xfId="0" applyFont="1" applyFill="1" applyBorder="1" applyAlignment="1" applyProtection="1">
      <alignment horizontal="center" vertical="center" wrapText="1"/>
      <protection hidden="1"/>
    </xf>
    <xf numFmtId="0" fontId="5" fillId="3" borderId="1" xfId="0" applyFont="1" applyFill="1" applyBorder="1" applyAlignment="1" applyProtection="1">
      <alignment horizontal="center" vertical="center" textRotation="90" wrapText="1"/>
      <protection locked="0" hidden="1"/>
    </xf>
    <xf numFmtId="2" fontId="5" fillId="2" borderId="10" xfId="0" applyNumberFormat="1" applyFont="1" applyFill="1" applyBorder="1" applyAlignment="1" applyProtection="1">
      <alignment horizontal="center" vertical="center" wrapText="1"/>
      <protection hidden="1"/>
    </xf>
    <xf numFmtId="2" fontId="5" fillId="2" borderId="11" xfId="0" applyNumberFormat="1" applyFont="1" applyFill="1" applyBorder="1" applyAlignment="1" applyProtection="1">
      <alignment horizontal="center" vertical="center" wrapText="1"/>
      <protection hidden="1"/>
    </xf>
    <xf numFmtId="166" fontId="8" fillId="2" borderId="7" xfId="2" applyNumberFormat="1" applyFont="1" applyFill="1" applyBorder="1" applyAlignment="1" applyProtection="1">
      <alignment horizontal="right" vertical="center" textRotation="90" wrapText="1"/>
      <protection hidden="1"/>
    </xf>
    <xf numFmtId="166" fontId="8" fillId="2" borderId="9" xfId="2" applyNumberFormat="1" applyFont="1" applyFill="1" applyBorder="1" applyAlignment="1" applyProtection="1">
      <alignment horizontal="right" vertical="center" textRotation="90" wrapText="1"/>
      <protection hidden="1"/>
    </xf>
    <xf numFmtId="166" fontId="8" fillId="2" borderId="4" xfId="2" applyNumberFormat="1" applyFont="1" applyFill="1" applyBorder="1" applyAlignment="1" applyProtection="1">
      <alignment horizontal="right" vertical="center" textRotation="90" wrapText="1"/>
      <protection hidden="1"/>
    </xf>
    <xf numFmtId="2" fontId="8" fillId="2" borderId="5" xfId="2" applyNumberFormat="1" applyFont="1" applyFill="1" applyBorder="1" applyAlignment="1" applyProtection="1">
      <alignment horizontal="center" vertical="center" textRotation="90" wrapText="1"/>
      <protection hidden="1"/>
    </xf>
    <xf numFmtId="2" fontId="8" fillId="2" borderId="8" xfId="2" applyNumberFormat="1" applyFont="1" applyFill="1" applyBorder="1" applyAlignment="1" applyProtection="1">
      <alignment horizontal="center" vertical="center" textRotation="90" wrapText="1"/>
      <protection hidden="1"/>
    </xf>
    <xf numFmtId="2" fontId="8" fillId="2" borderId="2" xfId="2" applyNumberFormat="1" applyFont="1" applyFill="1" applyBorder="1" applyAlignment="1" applyProtection="1">
      <alignment horizontal="center" vertical="center" textRotation="90" wrapText="1"/>
      <protection hidden="1"/>
    </xf>
    <xf numFmtId="2" fontId="8" fillId="3" borderId="1" xfId="2" applyNumberFormat="1" applyFont="1" applyFill="1" applyBorder="1" applyAlignment="1" applyProtection="1">
      <alignment horizontal="center" vertical="center" textRotation="90" wrapText="1"/>
      <protection hidden="1"/>
    </xf>
  </cellXfs>
  <cellStyles count="6">
    <cellStyle name="Açıklama Metni" xfId="1" builtinId="53" customBuiltin="1"/>
    <cellStyle name="Normal" xfId="0" builtinId="0"/>
    <cellStyle name="Normal 2" xfId="2" xr:uid="{00000000-0005-0000-0000-000002000000}"/>
    <cellStyle name="Normal 2 2" xfId="3" xr:uid="{00000000-0005-0000-0000-000003000000}"/>
    <cellStyle name="Virgül 2" xfId="5" xr:uid="{00000000-0005-0000-0000-000004000000}"/>
    <cellStyle name="Yüzde 2" xfId="4" xr:uid="{00000000-0005-0000-0000-000005000000}"/>
  </cellStyles>
  <dxfs count="0"/>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FE699"/>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5E0B4"/>
      <rgbColor rgb="FFFFFF99"/>
      <rgbColor rgb="FF99CCFF"/>
      <rgbColor rgb="FFFF99CC"/>
      <rgbColor rgb="FFCC99FF"/>
      <rgbColor rgb="FFF8CBAD"/>
      <rgbColor rgb="FF3366FF"/>
      <rgbColor rgb="FF33CCCC"/>
      <rgbColor rgb="FF99CC00"/>
      <rgbColor rgb="FFFFCC00"/>
      <rgbColor rgb="FFFF9900"/>
      <rgbColor rgb="FFFF3333"/>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DAEEF3"/>
      <color rgb="FFC8E1B4"/>
      <color rgb="FF003300"/>
      <color rgb="FF9933FF"/>
      <color rgb="FFAAD7E1"/>
      <color rgb="FFAAD7DC"/>
      <color rgb="FFAAD7E6"/>
      <color rgb="FFAACDE6"/>
      <color rgb="FFAFCDE6"/>
      <color rgb="FFAFE1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tr-T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6821142851852943"/>
          <c:y val="1.6407513119655142E-2"/>
          <c:w val="0.22938183964581099"/>
          <c:h val="0.96718497376068968"/>
        </c:manualLayout>
      </c:layout>
      <c:barChart>
        <c:barDir val="bar"/>
        <c:grouping val="clustered"/>
        <c:varyColors val="0"/>
        <c:ser>
          <c:idx val="0"/>
          <c:order val="0"/>
          <c:spPr>
            <a:solidFill>
              <a:schemeClr val="tx1"/>
            </a:solidFill>
            <a:ln>
              <a:noFill/>
            </a:ln>
            <a:effectLst/>
          </c:spPr>
          <c:invertIfNegative val="0"/>
          <c:dPt>
            <c:idx val="10"/>
            <c:invertIfNegative val="0"/>
            <c:bubble3D val="0"/>
            <c:spPr>
              <a:solidFill>
                <a:schemeClr val="tx1"/>
              </a:solidFill>
              <a:ln>
                <a:noFill/>
              </a:ln>
              <a:effectLst/>
            </c:spPr>
            <c:extLst>
              <c:ext xmlns:c16="http://schemas.microsoft.com/office/drawing/2014/chart" uri="{C3380CC4-5D6E-409C-BE32-E72D297353CC}">
                <c16:uniqueId val="{00000035-7CFE-44BF-A422-9711557B250B}"/>
              </c:ext>
            </c:extLst>
          </c:dPt>
          <c:dPt>
            <c:idx val="11"/>
            <c:invertIfNegative val="0"/>
            <c:bubble3D val="0"/>
            <c:spPr>
              <a:solidFill>
                <a:srgbClr val="C00000"/>
              </a:solidFill>
              <a:ln>
                <a:noFill/>
              </a:ln>
              <a:effectLst/>
            </c:spPr>
            <c:extLst>
              <c:ext xmlns:c16="http://schemas.microsoft.com/office/drawing/2014/chart" uri="{C3380CC4-5D6E-409C-BE32-E72D297353CC}">
                <c16:uniqueId val="{00000027-15C5-4CF9-A126-8061EA1D968F}"/>
              </c:ext>
            </c:extLst>
          </c:dPt>
          <c:dPt>
            <c:idx val="12"/>
            <c:invertIfNegative val="0"/>
            <c:bubble3D val="0"/>
            <c:spPr>
              <a:solidFill>
                <a:srgbClr val="C00000"/>
              </a:solidFill>
              <a:ln>
                <a:noFill/>
              </a:ln>
              <a:effectLst/>
            </c:spPr>
            <c:extLst>
              <c:ext xmlns:c16="http://schemas.microsoft.com/office/drawing/2014/chart" uri="{C3380CC4-5D6E-409C-BE32-E72D297353CC}">
                <c16:uniqueId val="{00000028-15C5-4CF9-A126-8061EA1D968F}"/>
              </c:ext>
            </c:extLst>
          </c:dPt>
          <c:dPt>
            <c:idx val="13"/>
            <c:invertIfNegative val="0"/>
            <c:bubble3D val="0"/>
            <c:spPr>
              <a:solidFill>
                <a:srgbClr val="C00000"/>
              </a:solidFill>
              <a:ln>
                <a:noFill/>
              </a:ln>
              <a:effectLst/>
            </c:spPr>
            <c:extLst>
              <c:ext xmlns:c16="http://schemas.microsoft.com/office/drawing/2014/chart" uri="{C3380CC4-5D6E-409C-BE32-E72D297353CC}">
                <c16:uniqueId val="{00000029-15C5-4CF9-A126-8061EA1D968F}"/>
              </c:ext>
            </c:extLst>
          </c:dPt>
          <c:dPt>
            <c:idx val="14"/>
            <c:invertIfNegative val="0"/>
            <c:bubble3D val="0"/>
            <c:spPr>
              <a:solidFill>
                <a:srgbClr val="C00000"/>
              </a:solidFill>
              <a:ln>
                <a:noFill/>
              </a:ln>
              <a:effectLst/>
            </c:spPr>
            <c:extLst>
              <c:ext xmlns:c16="http://schemas.microsoft.com/office/drawing/2014/chart" uri="{C3380CC4-5D6E-409C-BE32-E72D297353CC}">
                <c16:uniqueId val="{0000002A-15C5-4CF9-A126-8061EA1D968F}"/>
              </c:ext>
            </c:extLst>
          </c:dPt>
          <c:dPt>
            <c:idx val="15"/>
            <c:invertIfNegative val="0"/>
            <c:bubble3D val="0"/>
            <c:spPr>
              <a:solidFill>
                <a:srgbClr val="C00000"/>
              </a:solidFill>
              <a:ln>
                <a:noFill/>
              </a:ln>
              <a:effectLst/>
            </c:spPr>
            <c:extLst>
              <c:ext xmlns:c16="http://schemas.microsoft.com/office/drawing/2014/chart" uri="{C3380CC4-5D6E-409C-BE32-E72D297353CC}">
                <c16:uniqueId val="{0000002B-15C5-4CF9-A126-8061EA1D968F}"/>
              </c:ext>
            </c:extLst>
          </c:dPt>
          <c:dPt>
            <c:idx val="16"/>
            <c:invertIfNegative val="0"/>
            <c:bubble3D val="0"/>
            <c:spPr>
              <a:solidFill>
                <a:srgbClr val="C00000"/>
              </a:solidFill>
              <a:ln>
                <a:noFill/>
              </a:ln>
              <a:effectLst/>
            </c:spPr>
            <c:extLst>
              <c:ext xmlns:c16="http://schemas.microsoft.com/office/drawing/2014/chart" uri="{C3380CC4-5D6E-409C-BE32-E72D297353CC}">
                <c16:uniqueId val="{0000002C-15C5-4CF9-A126-8061EA1D968F}"/>
              </c:ext>
            </c:extLst>
          </c:dPt>
          <c:dPt>
            <c:idx val="17"/>
            <c:invertIfNegative val="0"/>
            <c:bubble3D val="0"/>
            <c:spPr>
              <a:solidFill>
                <a:srgbClr val="C00000"/>
              </a:solidFill>
              <a:ln>
                <a:noFill/>
              </a:ln>
              <a:effectLst/>
            </c:spPr>
            <c:extLst>
              <c:ext xmlns:c16="http://schemas.microsoft.com/office/drawing/2014/chart" uri="{C3380CC4-5D6E-409C-BE32-E72D297353CC}">
                <c16:uniqueId val="{0000002D-15C5-4CF9-A126-8061EA1D968F}"/>
              </c:ext>
            </c:extLst>
          </c:dPt>
          <c:dPt>
            <c:idx val="18"/>
            <c:invertIfNegative val="0"/>
            <c:bubble3D val="0"/>
            <c:spPr>
              <a:solidFill>
                <a:schemeClr val="bg1">
                  <a:lumMod val="50000"/>
                </a:schemeClr>
              </a:solidFill>
              <a:ln>
                <a:noFill/>
              </a:ln>
              <a:effectLst/>
            </c:spPr>
            <c:extLst>
              <c:ext xmlns:c16="http://schemas.microsoft.com/office/drawing/2014/chart" uri="{C3380CC4-5D6E-409C-BE32-E72D297353CC}">
                <c16:uniqueId val="{00000036-B11B-4591-90FE-4D23434FBFCF}"/>
              </c:ext>
            </c:extLst>
          </c:dPt>
          <c:dPt>
            <c:idx val="20"/>
            <c:invertIfNegative val="0"/>
            <c:bubble3D val="0"/>
            <c:spPr>
              <a:solidFill>
                <a:schemeClr val="tx1"/>
              </a:solidFill>
              <a:ln>
                <a:noFill/>
              </a:ln>
              <a:effectLst/>
            </c:spPr>
            <c:extLst>
              <c:ext xmlns:c16="http://schemas.microsoft.com/office/drawing/2014/chart" uri="{C3380CC4-5D6E-409C-BE32-E72D297353CC}">
                <c16:uniqueId val="{0000000F-45CA-4018-8A5C-C7D91A61B798}"/>
              </c:ext>
            </c:extLst>
          </c:dPt>
          <c:dPt>
            <c:idx val="21"/>
            <c:invertIfNegative val="0"/>
            <c:bubble3D val="0"/>
            <c:spPr>
              <a:solidFill>
                <a:schemeClr val="tx1"/>
              </a:solidFill>
              <a:ln>
                <a:noFill/>
              </a:ln>
              <a:effectLst/>
            </c:spPr>
            <c:extLst>
              <c:ext xmlns:c16="http://schemas.microsoft.com/office/drawing/2014/chart" uri="{C3380CC4-5D6E-409C-BE32-E72D297353CC}">
                <c16:uniqueId val="{0000000E-45CA-4018-8A5C-C7D91A61B798}"/>
              </c:ext>
            </c:extLst>
          </c:dPt>
          <c:dPt>
            <c:idx val="22"/>
            <c:invertIfNegative val="0"/>
            <c:bubble3D val="0"/>
            <c:spPr>
              <a:solidFill>
                <a:schemeClr val="tx1"/>
              </a:solidFill>
              <a:ln>
                <a:noFill/>
              </a:ln>
              <a:effectLst/>
            </c:spPr>
            <c:extLst>
              <c:ext xmlns:c16="http://schemas.microsoft.com/office/drawing/2014/chart" uri="{C3380CC4-5D6E-409C-BE32-E72D297353CC}">
                <c16:uniqueId val="{0000000D-45CA-4018-8A5C-C7D91A61B798}"/>
              </c:ext>
            </c:extLst>
          </c:dPt>
          <c:dPt>
            <c:idx val="23"/>
            <c:invertIfNegative val="0"/>
            <c:bubble3D val="0"/>
            <c:spPr>
              <a:solidFill>
                <a:schemeClr val="tx1"/>
              </a:solidFill>
              <a:ln>
                <a:noFill/>
              </a:ln>
              <a:effectLst/>
            </c:spPr>
            <c:extLst>
              <c:ext xmlns:c16="http://schemas.microsoft.com/office/drawing/2014/chart" uri="{C3380CC4-5D6E-409C-BE32-E72D297353CC}">
                <c16:uniqueId val="{00000015-E42F-428B-802F-3B6F8ADE344D}"/>
              </c:ext>
            </c:extLst>
          </c:dPt>
          <c:dPt>
            <c:idx val="24"/>
            <c:invertIfNegative val="0"/>
            <c:bubble3D val="0"/>
            <c:spPr>
              <a:solidFill>
                <a:schemeClr val="tx1"/>
              </a:solidFill>
              <a:ln>
                <a:noFill/>
              </a:ln>
              <a:effectLst/>
            </c:spPr>
            <c:extLst>
              <c:ext xmlns:c16="http://schemas.microsoft.com/office/drawing/2014/chart" uri="{C3380CC4-5D6E-409C-BE32-E72D297353CC}">
                <c16:uniqueId val="{0000000A-45CA-4018-8A5C-C7D91A61B798}"/>
              </c:ext>
            </c:extLst>
          </c:dPt>
          <c:dPt>
            <c:idx val="25"/>
            <c:invertIfNegative val="0"/>
            <c:bubble3D val="0"/>
            <c:spPr>
              <a:solidFill>
                <a:schemeClr val="tx1"/>
              </a:solidFill>
              <a:ln>
                <a:noFill/>
              </a:ln>
              <a:effectLst/>
            </c:spPr>
            <c:extLst>
              <c:ext xmlns:c16="http://schemas.microsoft.com/office/drawing/2014/chart" uri="{C3380CC4-5D6E-409C-BE32-E72D297353CC}">
                <c16:uniqueId val="{00000009-45CA-4018-8A5C-C7D91A61B798}"/>
              </c:ext>
            </c:extLst>
          </c:dPt>
          <c:dPt>
            <c:idx val="26"/>
            <c:invertIfNegative val="0"/>
            <c:bubble3D val="0"/>
            <c:spPr>
              <a:solidFill>
                <a:srgbClr val="C00000"/>
              </a:solidFill>
              <a:ln>
                <a:noFill/>
              </a:ln>
              <a:effectLst/>
            </c:spPr>
            <c:extLst>
              <c:ext xmlns:c16="http://schemas.microsoft.com/office/drawing/2014/chart" uri="{C3380CC4-5D6E-409C-BE32-E72D297353CC}">
                <c16:uniqueId val="{0000000B-45CA-4018-8A5C-C7D91A61B798}"/>
              </c:ext>
            </c:extLst>
          </c:dPt>
          <c:dPt>
            <c:idx val="27"/>
            <c:invertIfNegative val="0"/>
            <c:bubble3D val="0"/>
            <c:spPr>
              <a:solidFill>
                <a:srgbClr val="C00000"/>
              </a:solidFill>
              <a:ln>
                <a:noFill/>
              </a:ln>
              <a:effectLst/>
            </c:spPr>
            <c:extLst>
              <c:ext xmlns:c16="http://schemas.microsoft.com/office/drawing/2014/chart" uri="{C3380CC4-5D6E-409C-BE32-E72D297353CC}">
                <c16:uniqueId val="{00000008-45CA-4018-8A5C-C7D91A61B798}"/>
              </c:ext>
            </c:extLst>
          </c:dPt>
          <c:dPt>
            <c:idx val="28"/>
            <c:invertIfNegative val="0"/>
            <c:bubble3D val="0"/>
            <c:spPr>
              <a:solidFill>
                <a:srgbClr val="C00000"/>
              </a:solidFill>
              <a:ln>
                <a:noFill/>
              </a:ln>
              <a:effectLst/>
            </c:spPr>
            <c:extLst>
              <c:ext xmlns:c16="http://schemas.microsoft.com/office/drawing/2014/chart" uri="{C3380CC4-5D6E-409C-BE32-E72D297353CC}">
                <c16:uniqueId val="{0000000C-45CA-4018-8A5C-C7D91A61B798}"/>
              </c:ext>
            </c:extLst>
          </c:dPt>
          <c:dPt>
            <c:idx val="29"/>
            <c:invertIfNegative val="0"/>
            <c:bubble3D val="0"/>
            <c:spPr>
              <a:solidFill>
                <a:srgbClr val="C00000"/>
              </a:solidFill>
              <a:ln>
                <a:noFill/>
              </a:ln>
              <a:effectLst/>
            </c:spPr>
            <c:extLst>
              <c:ext xmlns:c16="http://schemas.microsoft.com/office/drawing/2014/chart" uri="{C3380CC4-5D6E-409C-BE32-E72D297353CC}">
                <c16:uniqueId val="{00000007-45CA-4018-8A5C-C7D91A61B798}"/>
              </c:ext>
            </c:extLst>
          </c:dPt>
          <c:dPt>
            <c:idx val="30"/>
            <c:invertIfNegative val="0"/>
            <c:bubble3D val="0"/>
            <c:spPr>
              <a:solidFill>
                <a:srgbClr val="C00000"/>
              </a:solidFill>
              <a:ln>
                <a:noFill/>
              </a:ln>
              <a:effectLst/>
            </c:spPr>
            <c:extLst>
              <c:ext xmlns:c16="http://schemas.microsoft.com/office/drawing/2014/chart" uri="{C3380CC4-5D6E-409C-BE32-E72D297353CC}">
                <c16:uniqueId val="{00000013-D68E-4191-8C49-7635405731D1}"/>
              </c:ext>
            </c:extLst>
          </c:dPt>
          <c:dPt>
            <c:idx val="31"/>
            <c:invertIfNegative val="0"/>
            <c:bubble3D val="0"/>
            <c:spPr>
              <a:solidFill>
                <a:srgbClr val="C00000"/>
              </a:solidFill>
              <a:ln>
                <a:noFill/>
              </a:ln>
              <a:effectLst/>
            </c:spPr>
            <c:extLst>
              <c:ext xmlns:c16="http://schemas.microsoft.com/office/drawing/2014/chart" uri="{C3380CC4-5D6E-409C-BE32-E72D297353CC}">
                <c16:uniqueId val="{00000017-D7E6-45C6-BD44-9DAF6A5B6F82}"/>
              </c:ext>
            </c:extLst>
          </c:dPt>
          <c:dPt>
            <c:idx val="32"/>
            <c:invertIfNegative val="0"/>
            <c:bubble3D val="0"/>
            <c:spPr>
              <a:solidFill>
                <a:srgbClr val="C00000"/>
              </a:solidFill>
              <a:ln>
                <a:noFill/>
              </a:ln>
              <a:effectLst/>
            </c:spPr>
            <c:extLst>
              <c:ext xmlns:c16="http://schemas.microsoft.com/office/drawing/2014/chart" uri="{C3380CC4-5D6E-409C-BE32-E72D297353CC}">
                <c16:uniqueId val="{00000018-D7E6-45C6-BD44-9DAF6A5B6F82}"/>
              </c:ext>
            </c:extLst>
          </c:dPt>
          <c:dPt>
            <c:idx val="33"/>
            <c:invertIfNegative val="0"/>
            <c:bubble3D val="0"/>
            <c:spPr>
              <a:solidFill>
                <a:srgbClr val="C00000"/>
              </a:solidFill>
              <a:ln>
                <a:noFill/>
              </a:ln>
              <a:effectLst/>
            </c:spPr>
            <c:extLst>
              <c:ext xmlns:c16="http://schemas.microsoft.com/office/drawing/2014/chart" uri="{C3380CC4-5D6E-409C-BE32-E72D297353CC}">
                <c16:uniqueId val="{0000001D-B20F-4A15-8DC8-56B8EB5F98BA}"/>
              </c:ext>
            </c:extLst>
          </c:dPt>
          <c:dPt>
            <c:idx val="34"/>
            <c:invertIfNegative val="0"/>
            <c:bubble3D val="0"/>
            <c:spPr>
              <a:solidFill>
                <a:srgbClr val="C00000"/>
              </a:solidFill>
              <a:ln>
                <a:noFill/>
              </a:ln>
              <a:effectLst/>
            </c:spPr>
            <c:extLst>
              <c:ext xmlns:c16="http://schemas.microsoft.com/office/drawing/2014/chart" uri="{C3380CC4-5D6E-409C-BE32-E72D297353CC}">
                <c16:uniqueId val="{0000001C-B20F-4A15-8DC8-56B8EB5F98BA}"/>
              </c:ext>
            </c:extLst>
          </c:dPt>
          <c:dPt>
            <c:idx val="35"/>
            <c:invertIfNegative val="0"/>
            <c:bubble3D val="0"/>
            <c:spPr>
              <a:solidFill>
                <a:srgbClr val="C00000"/>
              </a:solidFill>
              <a:ln>
                <a:noFill/>
              </a:ln>
              <a:effectLst/>
            </c:spPr>
            <c:extLst>
              <c:ext xmlns:c16="http://schemas.microsoft.com/office/drawing/2014/chart" uri="{C3380CC4-5D6E-409C-BE32-E72D297353CC}">
                <c16:uniqueId val="{0000001E-B20F-4A15-8DC8-56B8EB5F98BA}"/>
              </c:ext>
            </c:extLst>
          </c:dPt>
          <c:dPt>
            <c:idx val="36"/>
            <c:invertIfNegative val="0"/>
            <c:bubble3D val="0"/>
            <c:spPr>
              <a:solidFill>
                <a:srgbClr val="C00000"/>
              </a:solidFill>
              <a:ln>
                <a:noFill/>
              </a:ln>
              <a:effectLst/>
            </c:spPr>
            <c:extLst>
              <c:ext xmlns:c16="http://schemas.microsoft.com/office/drawing/2014/chart" uri="{C3380CC4-5D6E-409C-BE32-E72D297353CC}">
                <c16:uniqueId val="{0000001B-B20F-4A15-8DC8-56B8EB5F98BA}"/>
              </c:ext>
            </c:extLst>
          </c:dPt>
          <c:dPt>
            <c:idx val="37"/>
            <c:invertIfNegative val="0"/>
            <c:bubble3D val="0"/>
            <c:spPr>
              <a:solidFill>
                <a:srgbClr val="C00000"/>
              </a:solidFill>
              <a:ln>
                <a:noFill/>
              </a:ln>
              <a:effectLst/>
            </c:spPr>
            <c:extLst>
              <c:ext xmlns:c16="http://schemas.microsoft.com/office/drawing/2014/chart" uri="{C3380CC4-5D6E-409C-BE32-E72D297353CC}">
                <c16:uniqueId val="{00000023-8CC3-4E54-9960-0F980A27CEC9}"/>
              </c:ext>
            </c:extLst>
          </c:dPt>
          <c:dPt>
            <c:idx val="38"/>
            <c:invertIfNegative val="0"/>
            <c:bubble3D val="0"/>
            <c:spPr>
              <a:solidFill>
                <a:schemeClr val="bg1">
                  <a:lumMod val="50000"/>
                </a:schemeClr>
              </a:solidFill>
              <a:ln>
                <a:noFill/>
              </a:ln>
              <a:effectLst/>
            </c:spPr>
            <c:extLst>
              <c:ext xmlns:c16="http://schemas.microsoft.com/office/drawing/2014/chart" uri="{C3380CC4-5D6E-409C-BE32-E72D297353CC}">
                <c16:uniqueId val="{00000024-8CC3-4E54-9960-0F980A27CEC9}"/>
              </c:ext>
            </c:extLst>
          </c:dPt>
          <c:dLbls>
            <c:spPr>
              <a:noFill/>
              <a:ln>
                <a:noFill/>
              </a:ln>
              <a:effectLst/>
            </c:spPr>
            <c:txPr>
              <a:bodyPr rot="0" spcFirstLastPara="1" vertOverflow="ellipsis" vert="horz" wrap="square" anchor="ctr" anchorCtr="1"/>
              <a:lstStyle/>
              <a:p>
                <a:pPr>
                  <a:defRPr sz="1600" b="0" i="0" u="none" strike="noStrike" kern="1200" baseline="0">
                    <a:solidFill>
                      <a:schemeClr val="tx1">
                        <a:lumMod val="75000"/>
                        <a:lumOff val="25000"/>
                      </a:schemeClr>
                    </a:solidFill>
                    <a:latin typeface="+mn-lt"/>
                    <a:ea typeface="+mn-ea"/>
                    <a:cs typeface="+mn-cs"/>
                  </a:defRPr>
                </a:pPr>
                <a:endParaRPr lang="tr-T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'Özet Tablo'!$Y$1:$Y$18</c:f>
              <c:strCache>
                <c:ptCount val="18"/>
                <c:pt idx="0">
                  <c:v>Normal Çalışma</c:v>
                </c:pt>
                <c:pt idx="1">
                  <c:v>Kıdem Yardımı</c:v>
                </c:pt>
                <c:pt idx="2">
                  <c:v>Fazla Çalışma (% 50)</c:v>
                </c:pt>
                <c:pt idx="3">
                  <c:v>Fazla Sürelerle Çalışma (% 25)</c:v>
                </c:pt>
                <c:pt idx="4">
                  <c:v>Resmi Tatillerde Çalışma (% 100)</c:v>
                </c:pt>
                <c:pt idx="5">
                  <c:v>Gece Çalışma (% 12)</c:v>
                </c:pt>
                <c:pt idx="6">
                  <c:v>Yemek Yardımı</c:v>
                </c:pt>
                <c:pt idx="7">
                  <c:v>Ulaşım Yardımı</c:v>
                </c:pt>
                <c:pt idx="8">
                  <c:v>İkramiye Yardımı</c:v>
                </c:pt>
                <c:pt idx="9">
                  <c:v>Sosyal Yardım</c:v>
                </c:pt>
                <c:pt idx="10">
                  <c:v>Nakdi Yardımlar</c:v>
                </c:pt>
                <c:pt idx="11">
                  <c:v>Sendika Üyelik Aidatı Kesintisi</c:v>
                </c:pt>
                <c:pt idx="12">
                  <c:v>BES Kesintisi</c:v>
                </c:pt>
                <c:pt idx="13">
                  <c:v>Damga Vergisi Kesintisi</c:v>
                </c:pt>
                <c:pt idx="14">
                  <c:v>SGK Prim Kesintisi</c:v>
                </c:pt>
                <c:pt idx="15">
                  <c:v>SGK İşsizlik Primi Kesintisi</c:v>
                </c:pt>
                <c:pt idx="16">
                  <c:v>Gelir Vergisi Kesintisi</c:v>
                </c:pt>
                <c:pt idx="17">
                  <c:v>İşveren Maliyeti</c:v>
                </c:pt>
              </c:strCache>
            </c:strRef>
          </c:cat>
          <c:val>
            <c:numRef>
              <c:f>'Özet Tablo'!$Z$1:$Z$18</c:f>
              <c:numCache>
                <c:formatCode>#,##0.00\ "₺"</c:formatCode>
                <c:ptCount val="18"/>
                <c:pt idx="0">
                  <c:v>51160.295629415828</c:v>
                </c:pt>
                <c:pt idx="1">
                  <c:v>0</c:v>
                </c:pt>
                <c:pt idx="2">
                  <c:v>0</c:v>
                </c:pt>
                <c:pt idx="3">
                  <c:v>0</c:v>
                </c:pt>
                <c:pt idx="4">
                  <c:v>0</c:v>
                </c:pt>
                <c:pt idx="5">
                  <c:v>0</c:v>
                </c:pt>
                <c:pt idx="6">
                  <c:v>7246.199999999998</c:v>
                </c:pt>
                <c:pt idx="7">
                  <c:v>3229.25</c:v>
                </c:pt>
                <c:pt idx="8">
                  <c:v>8279.1274509855884</c:v>
                </c:pt>
                <c:pt idx="9">
                  <c:v>4505.320166127146</c:v>
                </c:pt>
                <c:pt idx="10">
                  <c:v>255.66666666666666</c:v>
                </c:pt>
                <c:pt idx="11">
                  <c:v>2347.1219999999998</c:v>
                </c:pt>
                <c:pt idx="12">
                  <c:v>0</c:v>
                </c:pt>
                <c:pt idx="13">
                  <c:v>544.53561998859516</c:v>
                </c:pt>
                <c:pt idx="14">
                  <c:v>15185.21528305709</c:v>
                </c:pt>
                <c:pt idx="15">
                  <c:v>1084.6582345040779</c:v>
                </c:pt>
                <c:pt idx="16">
                  <c:v>15463.432500000001</c:v>
                </c:pt>
                <c:pt idx="17">
                  <c:v>131148.50431972506</c:v>
                </c:pt>
              </c:numCache>
            </c:numRef>
          </c:val>
          <c:extLst>
            <c:ext xmlns:c16="http://schemas.microsoft.com/office/drawing/2014/chart" uri="{C3380CC4-5D6E-409C-BE32-E72D297353CC}">
              <c16:uniqueId val="{00000000-755B-478D-AB69-BF223AA4AC7C}"/>
            </c:ext>
          </c:extLst>
        </c:ser>
        <c:dLbls>
          <c:dLblPos val="outEnd"/>
          <c:showLegendKey val="0"/>
          <c:showVal val="1"/>
          <c:showCatName val="0"/>
          <c:showSerName val="0"/>
          <c:showPercent val="0"/>
          <c:showBubbleSize val="0"/>
        </c:dLbls>
        <c:gapWidth val="182"/>
        <c:axId val="552148752"/>
        <c:axId val="552147112"/>
      </c:barChart>
      <c:catAx>
        <c:axId val="552148752"/>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tr-TR"/>
          </a:p>
        </c:txPr>
        <c:crossAx val="552147112"/>
        <c:crosses val="autoZero"/>
        <c:auto val="1"/>
        <c:lblAlgn val="ctr"/>
        <c:lblOffset val="100"/>
        <c:tickMarkSkip val="1"/>
        <c:noMultiLvlLbl val="0"/>
      </c:catAx>
      <c:valAx>
        <c:axId val="552147112"/>
        <c:scaling>
          <c:orientation val="minMax"/>
        </c:scaling>
        <c:delete val="1"/>
        <c:axPos val="t"/>
        <c:numFmt formatCode="#,##0.00\ &quot;₺&quot;" sourceLinked="1"/>
        <c:majorTickMark val="out"/>
        <c:minorTickMark val="none"/>
        <c:tickLblPos val="nextTo"/>
        <c:crossAx val="55214875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lumMod val="85000"/>
      </a:schemeClr>
    </a:solidFill>
    <a:ln w="9525" cap="flat" cmpd="sng" algn="ctr">
      <a:solidFill>
        <a:schemeClr val="tx1">
          <a:lumMod val="15000"/>
          <a:lumOff val="85000"/>
        </a:schemeClr>
      </a:solidFill>
      <a:round/>
    </a:ln>
    <a:effectLst/>
  </c:spPr>
  <c:txPr>
    <a:bodyPr/>
    <a:lstStyle/>
    <a:p>
      <a:pPr>
        <a:defRPr sz="1600"/>
      </a:pPr>
      <a:endParaRPr lang="tr-T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tr-T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explosion val="4"/>
            <c:spPr>
              <a:solidFill>
                <a:schemeClr val="tx1"/>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1-5D9F-40F4-A256-823C9FF01F41}"/>
              </c:ext>
            </c:extLst>
          </c:dPt>
          <c:dPt>
            <c:idx val="1"/>
            <c:bubble3D val="0"/>
            <c:explosion val="5"/>
            <c:spPr>
              <a:solidFill>
                <a:srgbClr val="C00000"/>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3-5D9F-40F4-A256-823C9FF01F41}"/>
              </c:ext>
            </c:extLst>
          </c:dPt>
          <c:dLbls>
            <c:dLbl>
              <c:idx val="0"/>
              <c:layout>
                <c:manualLayout>
                  <c:x val="0"/>
                  <c:y val="-0.2727330235099843"/>
                </c:manualLayout>
              </c:layout>
              <c:tx>
                <c:rich>
                  <a:bodyPr rot="0" spcFirstLastPara="1" vertOverflow="ellipsis" vert="horz" wrap="square" lIns="0" tIns="0" rIns="0" bIns="0" anchor="ctr" anchorCtr="0">
                    <a:noAutofit/>
                  </a:bodyPr>
                  <a:lstStyle/>
                  <a:p>
                    <a:pPr lvl="1" algn="ctr" rtl="0">
                      <a:defRPr sz="2000" b="1" i="0" u="none" strike="noStrike" kern="1200" baseline="0">
                        <a:solidFill>
                          <a:sysClr val="windowText" lastClr="000000"/>
                        </a:solidFill>
                        <a:latin typeface="+mn-lt"/>
                        <a:ea typeface="+mn-ea"/>
                        <a:cs typeface="+mn-cs"/>
                      </a:defRPr>
                    </a:pPr>
                    <a:r>
                      <a:rPr lang="en-US" sz="2000" i="0" u="sng" baseline="0">
                        <a:solidFill>
                          <a:sysClr val="windowText" lastClr="000000"/>
                        </a:solidFill>
                      </a:rPr>
                      <a:t>Kazançlar</a:t>
                    </a:r>
                  </a:p>
                  <a:p>
                    <a:pPr lvl="1" algn="ctr" rtl="0">
                      <a:defRPr sz="2000" b="1" i="0" u="none" strike="noStrike" kern="1200" baseline="0">
                        <a:solidFill>
                          <a:sysClr val="windowText" lastClr="000000"/>
                        </a:solidFill>
                        <a:latin typeface="+mn-lt"/>
                        <a:ea typeface="+mn-ea"/>
                        <a:cs typeface="+mn-cs"/>
                      </a:defRPr>
                    </a:pPr>
                    <a:fld id="{18CB9E8E-A975-43C0-A56F-BEEBC923E687}" type="VALUE">
                      <a:rPr lang="en-US" sz="2000" i="0">
                        <a:solidFill>
                          <a:sysClr val="windowText" lastClr="000000"/>
                        </a:solidFill>
                      </a:rPr>
                      <a:pPr lvl="1" algn="ctr" rtl="0">
                        <a:defRPr sz="2000" b="1" i="0" u="none" strike="noStrike" kern="1200" baseline="0">
                          <a:solidFill>
                            <a:sysClr val="windowText" lastClr="000000"/>
                          </a:solidFill>
                          <a:latin typeface="+mn-lt"/>
                          <a:ea typeface="+mn-ea"/>
                          <a:cs typeface="+mn-cs"/>
                        </a:defRPr>
                      </a:pPr>
                      <a:t>[DEĞER]</a:t>
                    </a:fld>
                    <a:endParaRPr lang="en-US" sz="2000" i="0" baseline="0">
                      <a:solidFill>
                        <a:sysClr val="windowText" lastClr="000000"/>
                      </a:solidFill>
                    </a:endParaRPr>
                  </a:p>
                  <a:p>
                    <a:pPr lvl="1" algn="ctr" rtl="0">
                      <a:defRPr sz="2000" b="1" i="0" u="none" strike="noStrike" kern="1200" baseline="0">
                        <a:solidFill>
                          <a:sysClr val="windowText" lastClr="000000"/>
                        </a:solidFill>
                        <a:latin typeface="+mn-lt"/>
                        <a:ea typeface="+mn-ea"/>
                        <a:cs typeface="+mn-cs"/>
                      </a:defRPr>
                    </a:pPr>
                    <a:fld id="{ED1D6583-AC77-4CB8-8AE1-8BB6A6F10BE5}" type="PERCENTAGE">
                      <a:rPr lang="en-US" sz="2000" i="0">
                        <a:solidFill>
                          <a:sysClr val="windowText" lastClr="000000"/>
                        </a:solidFill>
                      </a:rPr>
                      <a:pPr lvl="1" algn="ctr" rtl="0">
                        <a:defRPr sz="2000" b="1" i="0" u="none" strike="noStrike" kern="1200" baseline="0">
                          <a:solidFill>
                            <a:sysClr val="windowText" lastClr="000000"/>
                          </a:solidFill>
                          <a:latin typeface="+mn-lt"/>
                          <a:ea typeface="+mn-ea"/>
                          <a:cs typeface="+mn-cs"/>
                        </a:defRPr>
                      </a:pPr>
                      <a:t>[YÜZDE]</a:t>
                    </a:fld>
                    <a:endParaRPr lang="tr-TR"/>
                  </a:p>
                </c:rich>
              </c:tx>
              <c:numFmt formatCode="%\ 0.00" sourceLinked="0"/>
              <c:spPr>
                <a:noFill/>
                <a:ln>
                  <a:noFill/>
                </a:ln>
                <a:effectLst/>
              </c:spPr>
              <c:dLblPos val="bestFit"/>
              <c:showLegendKey val="0"/>
              <c:showVal val="0"/>
              <c:showCatName val="0"/>
              <c:showSerName val="0"/>
              <c:showPercent val="1"/>
              <c:showBubbleSize val="0"/>
              <c:separator>
</c:separator>
              <c:extLst>
                <c:ext xmlns:c15="http://schemas.microsoft.com/office/drawing/2012/chart" uri="{CE6537A1-D6FC-4f65-9D91-7224C49458BB}">
                  <c15:spPr xmlns:c15="http://schemas.microsoft.com/office/drawing/2012/chart">
                    <a:prstGeom prst="rect">
                      <a:avLst/>
                    </a:prstGeom>
                  </c15:spPr>
                  <c15:layout>
                    <c:manualLayout>
                      <c:w val="1"/>
                      <c:h val="0.2"/>
                    </c:manualLayout>
                  </c15:layout>
                  <c15:dlblFieldTable/>
                  <c15:showDataLabelsRange val="0"/>
                </c:ext>
                <c:ext xmlns:c16="http://schemas.microsoft.com/office/drawing/2014/chart" uri="{C3380CC4-5D6E-409C-BE32-E72D297353CC}">
                  <c16:uniqueId val="{00000001-5D9F-40F4-A256-823C9FF01F41}"/>
                </c:ext>
              </c:extLst>
            </c:dLbl>
            <c:dLbl>
              <c:idx val="1"/>
              <c:layout>
                <c:manualLayout>
                  <c:x val="0"/>
                  <c:y val="0.28660887761598208"/>
                </c:manualLayout>
              </c:layout>
              <c:tx>
                <c:rich>
                  <a:bodyPr rot="0" spcFirstLastPara="1" vertOverflow="ellipsis" vert="horz" wrap="square" lIns="0" tIns="0" rIns="0" bIns="0" anchor="t" anchorCtr="0">
                    <a:noAutofit/>
                  </a:bodyPr>
                  <a:lstStyle/>
                  <a:p>
                    <a:pPr lvl="1" algn="ctr" rtl="0">
                      <a:defRPr sz="2000" b="1" i="0" u="none" strike="noStrike" kern="1200" baseline="0">
                        <a:solidFill>
                          <a:srgbClr val="C00000"/>
                        </a:solidFill>
                        <a:latin typeface="+mn-lt"/>
                        <a:ea typeface="+mn-ea"/>
                        <a:cs typeface="+mn-cs"/>
                      </a:defRPr>
                    </a:pPr>
                    <a:r>
                      <a:rPr lang="en-US" sz="2000" b="1" i="0" u="sng" strike="noStrike" baseline="0">
                        <a:solidFill>
                          <a:srgbClr val="C00000"/>
                        </a:solidFill>
                      </a:rPr>
                      <a:t>Kesintiler</a:t>
                    </a:r>
                    <a:br>
                      <a:rPr lang="en-US" sz="2000" b="1" i="0" u="none" strike="noStrike" baseline="0">
                        <a:solidFill>
                          <a:srgbClr val="C00000"/>
                        </a:solidFill>
                      </a:rPr>
                    </a:br>
                    <a:fld id="{D48269F3-90DB-4B96-9E27-A88140910F88}" type="VALUE">
                      <a:rPr lang="en-US" sz="2000">
                        <a:solidFill>
                          <a:srgbClr val="C00000"/>
                        </a:solidFill>
                      </a:rPr>
                      <a:pPr lvl="1" algn="ctr" rtl="0">
                        <a:defRPr sz="2000" b="1" i="0" u="none" strike="noStrike" kern="1200" baseline="0">
                          <a:solidFill>
                            <a:srgbClr val="C00000"/>
                          </a:solidFill>
                          <a:latin typeface="+mn-lt"/>
                          <a:ea typeface="+mn-ea"/>
                          <a:cs typeface="+mn-cs"/>
                        </a:defRPr>
                      </a:pPr>
                      <a:t>[DEĞER]</a:t>
                    </a:fld>
                    <a:endParaRPr lang="en-US" sz="2000" baseline="0">
                      <a:solidFill>
                        <a:srgbClr val="C00000"/>
                      </a:solidFill>
                    </a:endParaRPr>
                  </a:p>
                  <a:p>
                    <a:pPr lvl="1" algn="ctr" rtl="0">
                      <a:defRPr sz="2000" b="1" i="0" u="none" strike="noStrike" kern="1200" baseline="0">
                        <a:solidFill>
                          <a:srgbClr val="C00000"/>
                        </a:solidFill>
                        <a:latin typeface="+mn-lt"/>
                        <a:ea typeface="+mn-ea"/>
                        <a:cs typeface="+mn-cs"/>
                      </a:defRPr>
                    </a:pPr>
                    <a:fld id="{C4F91586-97B1-4B5B-B426-9B699746C01D}" type="PERCENTAGE">
                      <a:rPr lang="en-US" sz="2000">
                        <a:solidFill>
                          <a:srgbClr val="C00000"/>
                        </a:solidFill>
                      </a:rPr>
                      <a:pPr lvl="1" algn="ctr" rtl="0">
                        <a:defRPr sz="2000" b="1" i="0" u="none" strike="noStrike" kern="1200" baseline="0">
                          <a:solidFill>
                            <a:srgbClr val="C00000"/>
                          </a:solidFill>
                          <a:latin typeface="+mn-lt"/>
                          <a:ea typeface="+mn-ea"/>
                          <a:cs typeface="+mn-cs"/>
                        </a:defRPr>
                      </a:pPr>
                      <a:t>[YÜZDE]</a:t>
                    </a:fld>
                    <a:endParaRPr lang="tr-TR"/>
                  </a:p>
                </c:rich>
              </c:tx>
              <c:numFmt formatCode="%\ 0.00" sourceLinked="0"/>
              <c:spPr>
                <a:noFill/>
                <a:ln>
                  <a:noFill/>
                </a:ln>
                <a:effectLst/>
              </c:spPr>
              <c:dLblPos val="bestFit"/>
              <c:showLegendKey val="0"/>
              <c:showVal val="0"/>
              <c:showCatName val="0"/>
              <c:showSerName val="0"/>
              <c:showPercent val="1"/>
              <c:showBubbleSize val="0"/>
              <c:separator>
</c:separator>
              <c:extLst>
                <c:ext xmlns:c15="http://schemas.microsoft.com/office/drawing/2012/chart" uri="{CE6537A1-D6FC-4f65-9D91-7224C49458BB}">
                  <c15:spPr xmlns:c15="http://schemas.microsoft.com/office/drawing/2012/chart">
                    <a:prstGeom prst="rect">
                      <a:avLst/>
                    </a:prstGeom>
                  </c15:spPr>
                  <c15:layout>
                    <c:manualLayout>
                      <c:w val="1"/>
                      <c:h val="0.18251962962962964"/>
                    </c:manualLayout>
                  </c15:layout>
                  <c15:dlblFieldTable/>
                  <c15:showDataLabelsRange val="0"/>
                </c:ext>
                <c:ext xmlns:c16="http://schemas.microsoft.com/office/drawing/2014/chart" uri="{C3380CC4-5D6E-409C-BE32-E72D297353CC}">
                  <c16:uniqueId val="{00000003-5D9F-40F4-A256-823C9FF01F41}"/>
                </c:ext>
              </c:extLst>
            </c:dLbl>
            <c:numFmt formatCode="%\ 0.00" sourceLinked="0"/>
            <c:spPr>
              <a:noFill/>
              <a:ln>
                <a:noFill/>
              </a:ln>
              <a:effectLst/>
            </c:spPr>
            <c:txPr>
              <a:bodyPr rot="0" spcFirstLastPara="1" vertOverflow="ellipsis" vert="horz" wrap="square" lIns="0" tIns="0" rIns="0" bIns="0" anchor="ctr" anchorCtr="0">
                <a:spAutoFit/>
              </a:bodyPr>
              <a:lstStyle/>
              <a:p>
                <a:pPr algn="ctr">
                  <a:defRPr sz="1300" b="1" i="0" u="none" strike="noStrike" kern="1200" baseline="0">
                    <a:solidFill>
                      <a:schemeClr val="lt1"/>
                    </a:solidFill>
                    <a:latin typeface="+mn-lt"/>
                    <a:ea typeface="+mn-ea"/>
                    <a:cs typeface="+mn-cs"/>
                  </a:defRPr>
                </a:pPr>
                <a:endParaRPr lang="tr-TR"/>
              </a:p>
            </c:txPr>
            <c:dLblPos val="ctr"/>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'Özet Tablo'!$Y$19:$Y$20</c:f>
              <c:strCache>
                <c:ptCount val="2"/>
                <c:pt idx="0">
                  <c:v>Kazançlar</c:v>
                </c:pt>
                <c:pt idx="1">
                  <c:v>Kesintiler</c:v>
                </c:pt>
              </c:strCache>
            </c:strRef>
          </c:cat>
          <c:val>
            <c:numRef>
              <c:f>'Özet Tablo'!$Z$19:$Z$20</c:f>
              <c:numCache>
                <c:formatCode>#,##0.00\ "₺"</c:formatCode>
                <c:ptCount val="2"/>
                <c:pt idx="0">
                  <c:v>77948.85981285802</c:v>
                </c:pt>
                <c:pt idx="1">
                  <c:v>34624.96363754975</c:v>
                </c:pt>
              </c:numCache>
            </c:numRef>
          </c:val>
          <c:extLst>
            <c:ext xmlns:c16="http://schemas.microsoft.com/office/drawing/2014/chart" uri="{C3380CC4-5D6E-409C-BE32-E72D297353CC}">
              <c16:uniqueId val="{00000004-5D9F-40F4-A256-823C9FF01F41}"/>
            </c:ext>
          </c:extLst>
        </c:ser>
        <c:dLbls>
          <c:dLblPos val="inEnd"/>
          <c:showLegendKey val="0"/>
          <c:showVal val="1"/>
          <c:showCatName val="1"/>
          <c:showSerName val="0"/>
          <c:showPercent val="0"/>
          <c:showBubbleSize val="0"/>
          <c:showLeaderLines val="0"/>
        </c:dLbls>
        <c:firstSliceAng val="27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lumMod val="85000"/>
      </a:schemeClr>
    </a:solidFill>
    <a:ln w="9525" cap="flat" cmpd="sng" algn="ctr">
      <a:noFill/>
      <a:round/>
    </a:ln>
    <a:effectLst/>
  </c:spPr>
  <c:txPr>
    <a:bodyPr/>
    <a:lstStyle/>
    <a:p>
      <a:pPr>
        <a:defRPr/>
      </a:pPr>
      <a:endParaRPr lang="tr-T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18</xdr:col>
      <xdr:colOff>53463</xdr:colOff>
      <xdr:row>0</xdr:row>
      <xdr:rowOff>70921</xdr:rowOff>
    </xdr:from>
    <xdr:to>
      <xdr:col>18</xdr:col>
      <xdr:colOff>7290954</xdr:colOff>
      <xdr:row>27</xdr:row>
      <xdr:rowOff>398319</xdr:rowOff>
    </xdr:to>
    <xdr:graphicFrame macro="">
      <xdr:nvGraphicFramePr>
        <xdr:cNvPr id="7" name="Grafik 6">
          <a:extLst>
            <a:ext uri="{FF2B5EF4-FFF2-40B4-BE49-F238E27FC236}">
              <a16:creationId xmlns:a16="http://schemas.microsoft.com/office/drawing/2014/main" id="{80F8C963-D5D5-4BCD-8610-182E47B88E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18</xdr:col>
      <xdr:colOff>4966692</xdr:colOff>
      <xdr:row>8</xdr:row>
      <xdr:rowOff>125886</xdr:rowOff>
    </xdr:from>
    <xdr:to>
      <xdr:col>18</xdr:col>
      <xdr:colOff>7306692</xdr:colOff>
      <xdr:row>19</xdr:row>
      <xdr:rowOff>5969</xdr:rowOff>
    </xdr:to>
    <xdr:graphicFrame macro="">
      <xdr:nvGraphicFramePr>
        <xdr:cNvPr id="3" name="Grafik 2">
          <a:extLst>
            <a:ext uri="{FF2B5EF4-FFF2-40B4-BE49-F238E27FC236}">
              <a16:creationId xmlns:a16="http://schemas.microsoft.com/office/drawing/2014/main" id="{7ADA3213-C9FB-42E9-8CD0-901898DBDF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PrintsWithSheet="0"/>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A1:OU363"/>
  <sheetViews>
    <sheetView showGridLines="0" showRowColHeaders="0" tabSelected="1" showWhiteSpace="0" zoomScale="50" zoomScaleNormal="50" zoomScaleSheetLayoutView="40" zoomScalePageLayoutView="55" workbookViewId="0">
      <pane xSplit="3" topLeftCell="D1" activePane="topRight" state="frozen"/>
      <selection activeCell="A6" sqref="A6"/>
      <selection pane="topRight" activeCell="D15" sqref="D15"/>
    </sheetView>
  </sheetViews>
  <sheetFormatPr defaultColWidth="0" defaultRowHeight="0" customHeight="1" zeroHeight="1" x14ac:dyDescent="0.25"/>
  <cols>
    <col min="1" max="1" width="12.7109375" style="2" customWidth="1"/>
    <col min="2" max="2" width="10.7109375" style="2" customWidth="1"/>
    <col min="3" max="3" width="4.7109375" style="2" customWidth="1"/>
    <col min="4" max="14" width="12.7109375" style="2" customWidth="1"/>
    <col min="15" max="17" width="30.7109375" style="2" customWidth="1"/>
    <col min="18" max="18" width="12.7109375" style="2" customWidth="1"/>
    <col min="19" max="19" width="110.7109375" style="2" customWidth="1"/>
    <col min="20" max="20" width="12.7109375" style="2" customWidth="1"/>
    <col min="21" max="21" width="5.7109375" style="2" customWidth="1"/>
    <col min="22" max="22" width="80.7109375" style="2" customWidth="1"/>
    <col min="23" max="23" width="5.7109375" style="2" customWidth="1"/>
    <col min="24" max="24" width="1.7109375" style="2" customWidth="1"/>
    <col min="25" max="27" width="0.140625" style="13" customWidth="1"/>
    <col min="28" max="53" width="5.7109375" style="13" hidden="1" customWidth="1"/>
    <col min="54" max="56" width="20.7109375" style="13" hidden="1" customWidth="1"/>
    <col min="57" max="57" width="1.7109375" style="2" customWidth="1"/>
    <col min="58" max="411" width="0" style="2" hidden="1" customWidth="1"/>
    <col min="412" max="16384" width="5.7109375" style="2" hidden="1"/>
  </cols>
  <sheetData>
    <row r="1" spans="1:57" ht="39.950000000000003" customHeight="1" x14ac:dyDescent="0.25">
      <c r="A1" s="82" t="s">
        <v>91</v>
      </c>
      <c r="B1" s="79" t="s">
        <v>77</v>
      </c>
      <c r="C1" s="76">
        <f>AK15</f>
        <v>2152.52</v>
      </c>
      <c r="D1" s="44" t="s">
        <v>45</v>
      </c>
      <c r="E1" s="44" t="s">
        <v>75</v>
      </c>
      <c r="F1" s="44" t="s">
        <v>74</v>
      </c>
      <c r="G1" s="60" t="s">
        <v>70</v>
      </c>
      <c r="H1" s="44" t="s">
        <v>73</v>
      </c>
      <c r="I1" s="44" t="s">
        <v>46</v>
      </c>
      <c r="J1" s="45" t="s">
        <v>47</v>
      </c>
      <c r="K1" s="46"/>
      <c r="L1" s="47"/>
      <c r="M1" s="44" t="s">
        <v>63</v>
      </c>
      <c r="N1" s="44" t="s">
        <v>72</v>
      </c>
      <c r="O1" s="44" t="s">
        <v>60</v>
      </c>
      <c r="P1" s="44" t="s">
        <v>71</v>
      </c>
      <c r="Q1" s="71" t="s">
        <v>58</v>
      </c>
      <c r="R1" s="66" t="s">
        <v>44</v>
      </c>
      <c r="S1" s="70"/>
      <c r="T1" s="73" t="s">
        <v>29</v>
      </c>
      <c r="U1" s="63"/>
      <c r="V1" s="64"/>
      <c r="W1" s="65"/>
      <c r="X1" s="54"/>
      <c r="Y1" s="13" t="s">
        <v>18</v>
      </c>
      <c r="Z1" s="14">
        <f t="shared" ref="Z1:Z3" ca="1" si="0">IF(AA1&gt;0,AA1,AA1*-1)</f>
        <v>51160.295629415828</v>
      </c>
      <c r="AA1" s="14">
        <f ca="1">COUNTIF(R1,"Ocak")*(AP15)
+COUNTIF(R1,"Şubat")*(AP16)
+COUNTIF(R1,"Mart")*(AP17)
+COUNTIF(R1,"Nisan")*(AP18)
+COUNTIF(R1,"Mayıs")*(AP19)
+COUNTIF(R1,"Haziran")*(AP20)
+COUNTIF(R1,"Temmuz")*(AP21)
+COUNTIF(R1,"Ağustos")*(AP22)
+COUNTIF(R1,"Eylül")*(AP23)
+COUNTIF(R1,"Ekim")*(AP24)
+COUNTIF(R1,"Kasım")*(AP25)
+COUNTIF(R1,"Aralık")*(AP26)
+COUNTIF(R1,"Yıllık Toplam")*(AP27)
+COUNTIF(R1,"Yıllık Ortalama")*(AP28)</f>
        <v>51160.295629415828</v>
      </c>
      <c r="AF1" s="14">
        <f t="shared" ref="AF1:AF12" si="1">(300*I15)</f>
        <v>7800</v>
      </c>
      <c r="AG1" s="14">
        <f ca="1">(AH1+AK1+AO1+AP1+AT1)</f>
        <v>7246.2</v>
      </c>
      <c r="AH1" s="14">
        <f>(AF1)</f>
        <v>7800</v>
      </c>
      <c r="AI1" s="14">
        <f>(AH1)</f>
        <v>7800</v>
      </c>
      <c r="AJ1" s="14">
        <f>IF(AH1-AI1&lt;=0,0,AH1-AI1)</f>
        <v>0</v>
      </c>
      <c r="AK1" s="14">
        <f>(AJ1*0.00759*-1)</f>
        <v>0</v>
      </c>
      <c r="AL1" s="14">
        <f>(AH1)</f>
        <v>7800</v>
      </c>
      <c r="AM1" s="14">
        <f t="shared" ref="AM1:AM6" si="2">IF($AD$13*I15&gt;=AL1,AL1,$AD$13*I15)</f>
        <v>4108</v>
      </c>
      <c r="AN1" s="14">
        <f>(AL1-AM1)</f>
        <v>3692</v>
      </c>
      <c r="AO1" s="14">
        <f>(AN1*0.14*-1)</f>
        <v>-516.88</v>
      </c>
      <c r="AP1" s="14">
        <f>(AN1*0.01*-1)</f>
        <v>-36.92</v>
      </c>
      <c r="AQ1" s="14">
        <f>(AH1+AO1+AP1)</f>
        <v>7246.2</v>
      </c>
      <c r="AR1" s="14">
        <f t="shared" ref="AR1:AR6" si="3">IF($AD$14*I15&gt;=AQ1,AQ1,$AD$14*I15)</f>
        <v>7246.2</v>
      </c>
      <c r="AS1" s="14">
        <f>IF(AQ1-AR1&lt;=0,0,AQ1-AR1)</f>
        <v>0</v>
      </c>
      <c r="AT1" s="14">
        <f t="shared" ref="AT1:AT12" ca="1" si="4">IF(AS1*AS59*-1&gt;=0,0,AS1*AS59*-1)</f>
        <v>0</v>
      </c>
      <c r="AU1" s="15">
        <v>30</v>
      </c>
      <c r="AV1" s="14">
        <f t="shared" ref="AV1:AV12" ca="1" si="5">(AW1/AX59/30*AU1)</f>
        <v>3843.840483417493</v>
      </c>
      <c r="AW1" s="14">
        <f t="shared" ref="AW1" si="6">(2748/30*AU1)</f>
        <v>2748</v>
      </c>
      <c r="AX1" s="15">
        <v>5</v>
      </c>
      <c r="BE1" s="57"/>
    </row>
    <row r="2" spans="1:57" ht="39.950000000000003" customHeight="1" x14ac:dyDescent="0.25">
      <c r="A2" s="82"/>
      <c r="B2" s="80"/>
      <c r="C2" s="77"/>
      <c r="D2" s="44"/>
      <c r="E2" s="44"/>
      <c r="F2" s="44"/>
      <c r="G2" s="60"/>
      <c r="H2" s="44"/>
      <c r="I2" s="44"/>
      <c r="J2" s="48"/>
      <c r="K2" s="49"/>
      <c r="L2" s="50"/>
      <c r="M2" s="44"/>
      <c r="N2" s="44"/>
      <c r="O2" s="44"/>
      <c r="P2" s="44"/>
      <c r="Q2" s="71"/>
      <c r="R2" s="66"/>
      <c r="S2" s="70"/>
      <c r="T2" s="73"/>
      <c r="U2" s="72"/>
      <c r="V2" s="62" t="str">
        <f>IF($T$1="Analık Hâli İzni",$AZ$59,
IF($T$1="Annelik İzni",$AZ$60,
IF($T$1="Babalık İzni",$AZ$61,
IF($T$1="Cenaze İzni",$AZ$62,
IF($T$1="Doğal Afet İzni",$AZ$63,
IF($T$1="Engelli Çocuk İzni",$AZ$64,
IF($T$1="Evlat Edinme İzni",$AZ$65,
IF($T$1="Evlilik İzni",$AZ$66,
IF($T$1="İş Arama İzni",$AZ$67,
IF($T$1="Mazeret İzni",$AZ$68,
IF($T$1="Süt İzni",$AZ$69,
IF($T$1="Ücretli Sendikal İzin ve Sendika Temsilci Sayısı",$AZ$70,
IF($T$1="Ücretli Yıllık İzin",$AZ$71,
IF($T$1="Yol İzni",$AZ$72))))))))))))))</f>
        <v>a) 01.01.2009 Tarihinden Önce İşe Başlayanlar İçin:
Hizmeti 6 ay olanlar için 0 iş günü ücretli yıllık izin verilir.
Hizmeti 1-5 yıl olanlar için 14 iş günü ücretli yıllık izin verilir.
Hizmeti 5-10 yıl olanlar için 23 iş günü ücretli yıllık izin verilir.
Hizmeti 10-15 yıl olanlar için 23 iş günü ücretli yıllık izin verilir.
Hizmeti 15 yıldan fazla olanlar için 26 iş günü ücretli yıllık izin verilir.
b) 01.01.2009 Tarihinden Sonra İşe Başlayanlar İçin:
Hizmeti 6 ay olanlar için 0 iş günü ücretli yıllık izin verilir.
Hizmeti 1-5 yıl olanlar için 14 iş günü ücretli yıllık izin verilir.
Hizmeti 5-10 yıl olanlar için 20 iş günü ücretli yıllık izin verilir.
Hizmeti 10-15 yıl olanlar için 20 iş günü ücretli yıllık izin verilir.
Hizmeti 15 yıldan fazla olanlar için 26 iş günü ücretli yıllık izin verilir.</v>
      </c>
      <c r="W2" s="61"/>
      <c r="X2" s="55"/>
      <c r="Y2" s="13" t="s">
        <v>3</v>
      </c>
      <c r="Z2" s="14">
        <f t="shared" ca="1" si="0"/>
        <v>0</v>
      </c>
      <c r="AA2" s="14">
        <f ca="1">COUNTIF(R1,"Ocak")*(AR15)
+COUNTIF(R1,"Şubat")*(AR16)
+COUNTIF(R1,"Mart")*(AR17)
+COUNTIF(R1,"Nisan")*(AR18)
+COUNTIF(R1,"Mayıs")*(AR19)
+COUNTIF(R1,"Haziran")*(AR20)
+COUNTIF(R1,"Temmuz")*(AR21)
+COUNTIF(R1,"Ağustos")*(AR22)
+COUNTIF(R1,"Eylül")*(AR23)
+COUNTIF(R1,"Ekim")*(AR24)
+COUNTIF(R1,"Kasım")*(AR25)
+COUNTIF(R1,"Aralık")*(AR26)
+COUNTIF(R1,"Yıllık Toplam")*(AR27)
+COUNTIF(R1,"Yıllık Ortalama")*(AR28)</f>
        <v>0</v>
      </c>
      <c r="AB2" s="16">
        <f>(10%)</f>
        <v>0.1</v>
      </c>
      <c r="AC2" s="13" t="s">
        <v>0</v>
      </c>
      <c r="AD2" s="14">
        <f>($AD$8*$AB$2)</f>
        <v>3303</v>
      </c>
      <c r="AE2" s="14">
        <f>($AE$8*$AB$2)</f>
        <v>3303</v>
      </c>
      <c r="AF2" s="14">
        <f t="shared" si="1"/>
        <v>7800</v>
      </c>
      <c r="AG2" s="14">
        <f t="shared" ref="AG2:AG12" ca="1" si="7">(AH2+AK2+AO2+AP2+AT2)</f>
        <v>7246.2</v>
      </c>
      <c r="AH2" s="14">
        <f t="shared" ref="AH2:AH12" si="8">(AF2)</f>
        <v>7800</v>
      </c>
      <c r="AI2" s="14">
        <f t="shared" ref="AI2:AI12" si="9">(AH2)</f>
        <v>7800</v>
      </c>
      <c r="AJ2" s="14">
        <f t="shared" ref="AJ2:AJ12" si="10">IF(AH2-AI2&lt;=0,0,AH2-AI2)</f>
        <v>0</v>
      </c>
      <c r="AK2" s="14">
        <f t="shared" ref="AK2:AK12" si="11">(AJ2*0.00759*-1)</f>
        <v>0</v>
      </c>
      <c r="AL2" s="14">
        <f t="shared" ref="AL2:AL12" si="12">(AH2)</f>
        <v>7800</v>
      </c>
      <c r="AM2" s="14">
        <f t="shared" si="2"/>
        <v>4108</v>
      </c>
      <c r="AN2" s="14">
        <f t="shared" ref="AN2:AN12" si="13">(AL2-AM2)</f>
        <v>3692</v>
      </c>
      <c r="AO2" s="14">
        <f t="shared" ref="AO2:AO12" si="14">(AN2*0.14*-1)</f>
        <v>-516.88</v>
      </c>
      <c r="AP2" s="14">
        <f t="shared" ref="AP2:AP12" si="15">(AN2*0.01*-1)</f>
        <v>-36.92</v>
      </c>
      <c r="AQ2" s="14">
        <f t="shared" ref="AQ2:AQ12" si="16">(AH2+AO2+AP2)</f>
        <v>7246.2</v>
      </c>
      <c r="AR2" s="14">
        <f t="shared" si="3"/>
        <v>7246.2</v>
      </c>
      <c r="AS2" s="14">
        <f t="shared" ref="AS2:AS12" si="17">IF(AQ2-AR2&lt;=0,0,AQ2-AR2)</f>
        <v>0</v>
      </c>
      <c r="AT2" s="14">
        <f t="shared" ca="1" si="4"/>
        <v>0</v>
      </c>
      <c r="AU2" s="15">
        <v>30</v>
      </c>
      <c r="AV2" s="14">
        <f t="shared" ca="1" si="5"/>
        <v>4228.5042872529402</v>
      </c>
      <c r="AW2" s="14">
        <f>(2748/30*15+3298/30*15)</f>
        <v>3023</v>
      </c>
      <c r="AX2" s="15">
        <v>5</v>
      </c>
      <c r="BB2" s="13">
        <v>0</v>
      </c>
      <c r="BC2" s="17">
        <v>0</v>
      </c>
      <c r="BD2" s="18">
        <v>0</v>
      </c>
      <c r="BE2" s="58"/>
    </row>
    <row r="3" spans="1:57" ht="39.950000000000003" customHeight="1" x14ac:dyDescent="0.25">
      <c r="A3" s="82"/>
      <c r="B3" s="80"/>
      <c r="C3" s="77"/>
      <c r="D3" s="44"/>
      <c r="E3" s="44"/>
      <c r="F3" s="44"/>
      <c r="G3" s="60"/>
      <c r="H3" s="44"/>
      <c r="I3" s="44"/>
      <c r="J3" s="48"/>
      <c r="K3" s="49"/>
      <c r="L3" s="50"/>
      <c r="M3" s="44"/>
      <c r="N3" s="44"/>
      <c r="O3" s="44"/>
      <c r="P3" s="44"/>
      <c r="Q3" s="71"/>
      <c r="R3" s="66"/>
      <c r="S3" s="70"/>
      <c r="T3" s="73"/>
      <c r="U3" s="72"/>
      <c r="V3" s="62"/>
      <c r="W3" s="61"/>
      <c r="X3" s="55"/>
      <c r="Y3" s="13" t="s">
        <v>66</v>
      </c>
      <c r="Z3" s="14">
        <f t="shared" ca="1" si="0"/>
        <v>0</v>
      </c>
      <c r="AA3" s="14">
        <f ca="1">COUNTIF(R1,"Ocak")*(AT15)
+COUNTIF(R1,"Şubat")*(AT16)
+COUNTIF(R1,"Mart")*(AT17)
+COUNTIF(R1,"Nisan")*(AT18)
+COUNTIF(R1,"Mayıs")*(AT19)
+COUNTIF(R1,"Haziran")*(AT20)
+COUNTIF(R1,"Temmuz")*(AT21)
+COUNTIF(R1,"Ağustos")*(AT22)
+COUNTIF(R1,"Eylül")*(AT23)
+COUNTIF(R1,"Ekim")*(AT24)
+COUNTIF(R1,"Kasım")*(AT25)
+COUNTIF(R1,"Aralık")*(AT26)
+COUNTIF(R1,"Yıllık Toplam")*(AT27)
+COUNTIF(R1,"Yıllık Ortalama")*(AT28)</f>
        <v>0</v>
      </c>
      <c r="AB3" s="16">
        <f>(2%)</f>
        <v>0.02</v>
      </c>
      <c r="AC3" s="13" t="s">
        <v>0</v>
      </c>
      <c r="AD3" s="14">
        <f>($AD$8*$AB$3)</f>
        <v>660.6</v>
      </c>
      <c r="AE3" s="14">
        <f>($AE$8*$AB$3)</f>
        <v>660.6</v>
      </c>
      <c r="AF3" s="14">
        <f t="shared" si="1"/>
        <v>7800</v>
      </c>
      <c r="AG3" s="14">
        <f t="shared" ca="1" si="7"/>
        <v>7246.2</v>
      </c>
      <c r="AH3" s="14">
        <f t="shared" si="8"/>
        <v>7800</v>
      </c>
      <c r="AI3" s="14">
        <f t="shared" si="9"/>
        <v>7800</v>
      </c>
      <c r="AJ3" s="14">
        <f t="shared" si="10"/>
        <v>0</v>
      </c>
      <c r="AK3" s="14">
        <f t="shared" si="11"/>
        <v>0</v>
      </c>
      <c r="AL3" s="14">
        <f t="shared" si="12"/>
        <v>7800</v>
      </c>
      <c r="AM3" s="14">
        <f t="shared" si="2"/>
        <v>4108</v>
      </c>
      <c r="AN3" s="14">
        <f t="shared" si="13"/>
        <v>3692</v>
      </c>
      <c r="AO3" s="14">
        <f t="shared" si="14"/>
        <v>-516.88</v>
      </c>
      <c r="AP3" s="14">
        <f t="shared" si="15"/>
        <v>-36.92</v>
      </c>
      <c r="AQ3" s="14">
        <f t="shared" si="16"/>
        <v>7246.2</v>
      </c>
      <c r="AR3" s="14">
        <f t="shared" si="3"/>
        <v>7246.2</v>
      </c>
      <c r="AS3" s="14">
        <f t="shared" si="17"/>
        <v>0</v>
      </c>
      <c r="AT3" s="14">
        <f t="shared" ca="1" si="4"/>
        <v>0</v>
      </c>
      <c r="AU3" s="15">
        <v>30</v>
      </c>
      <c r="AV3" s="14">
        <f t="shared" ca="1" si="5"/>
        <v>4718.3865588415401</v>
      </c>
      <c r="AW3" s="14">
        <f>3298/30*AU3</f>
        <v>3298</v>
      </c>
      <c r="AX3" s="15">
        <v>5</v>
      </c>
      <c r="BB3" s="13">
        <v>1</v>
      </c>
      <c r="BC3" s="17">
        <v>0.5</v>
      </c>
      <c r="BD3" s="18">
        <v>0.03</v>
      </c>
      <c r="BE3" s="58"/>
    </row>
    <row r="4" spans="1:57" ht="39.950000000000003" customHeight="1" x14ac:dyDescent="0.25">
      <c r="A4" s="82"/>
      <c r="B4" s="81"/>
      <c r="C4" s="78"/>
      <c r="D4" s="44"/>
      <c r="E4" s="44"/>
      <c r="F4" s="44"/>
      <c r="G4" s="60"/>
      <c r="H4" s="44"/>
      <c r="I4" s="44"/>
      <c r="J4" s="48"/>
      <c r="K4" s="49"/>
      <c r="L4" s="50"/>
      <c r="M4" s="44"/>
      <c r="N4" s="44"/>
      <c r="O4" s="44"/>
      <c r="P4" s="44"/>
      <c r="Q4" s="71"/>
      <c r="R4" s="66"/>
      <c r="S4" s="70"/>
      <c r="T4" s="73"/>
      <c r="U4" s="72"/>
      <c r="V4" s="62"/>
      <c r="W4" s="61"/>
      <c r="X4" s="55"/>
      <c r="Y4" s="13" t="s">
        <v>67</v>
      </c>
      <c r="Z4" s="14">
        <f t="shared" ref="Z4" ca="1" si="18">IF(AA4&gt;0,AA4,AA4*-1)</f>
        <v>0</v>
      </c>
      <c r="AA4" s="14">
        <f ca="1">COUNTIF(R1,"Ocak")*(AV15)
+COUNTIF(R1,"Şubat")*(AV16)
+COUNTIF(R1,"Mart")*(AV17)
+COUNTIF(R1,"Nisan")*(AV18)
+COUNTIF(R1,"Mayıs")*(AV19)
+COUNTIF(R1,"Haziran")*(AV20)
+COUNTIF(R1,"Temmuz")*(AV21)
+COUNTIF(R1,"Ağustos")*(AV22)
+COUNTIF(R1,"Eylül")*(AV23)
+COUNTIF(R1,"Ekim")*(AV24)
+COUNTIF(R1,"Kasım")*(AV25)
+COUNTIF(R1,"Aralık")*(AV26)
+COUNTIF(R1,"Yıllık Toplam")*(AV27)
+COUNTIF(R1,"Yıllık Ortalama")*(AV28)</f>
        <v>0</v>
      </c>
      <c r="AB4" s="16">
        <f>(1%)</f>
        <v>0.01</v>
      </c>
      <c r="AC4" s="13" t="s">
        <v>0</v>
      </c>
      <c r="AD4" s="14">
        <f>($AD$8*$AB$4)</f>
        <v>330.3</v>
      </c>
      <c r="AE4" s="14">
        <f>($AE$8*$AB$4)</f>
        <v>330.3</v>
      </c>
      <c r="AF4" s="14">
        <f t="shared" si="1"/>
        <v>7800</v>
      </c>
      <c r="AG4" s="14">
        <f t="shared" ca="1" si="7"/>
        <v>7246.2</v>
      </c>
      <c r="AH4" s="14">
        <f t="shared" si="8"/>
        <v>7800</v>
      </c>
      <c r="AI4" s="14">
        <f t="shared" si="9"/>
        <v>7800</v>
      </c>
      <c r="AJ4" s="14">
        <f t="shared" si="10"/>
        <v>0</v>
      </c>
      <c r="AK4" s="14">
        <f t="shared" si="11"/>
        <v>0</v>
      </c>
      <c r="AL4" s="14">
        <f t="shared" si="12"/>
        <v>7800</v>
      </c>
      <c r="AM4" s="14">
        <f t="shared" si="2"/>
        <v>4108</v>
      </c>
      <c r="AN4" s="14">
        <f t="shared" si="13"/>
        <v>3692</v>
      </c>
      <c r="AO4" s="14">
        <f t="shared" si="14"/>
        <v>-516.88</v>
      </c>
      <c r="AP4" s="14">
        <f t="shared" si="15"/>
        <v>-36.92</v>
      </c>
      <c r="AQ4" s="14">
        <f t="shared" si="16"/>
        <v>7246.2</v>
      </c>
      <c r="AR4" s="14">
        <f t="shared" si="3"/>
        <v>7246.2</v>
      </c>
      <c r="AS4" s="14">
        <f t="shared" si="17"/>
        <v>0</v>
      </c>
      <c r="AT4" s="14">
        <f t="shared" ca="1" si="4"/>
        <v>0</v>
      </c>
      <c r="AU4" s="15">
        <v>30</v>
      </c>
      <c r="AV4" s="14">
        <f t="shared" ca="1" si="5"/>
        <v>4904.7456165137346</v>
      </c>
      <c r="AW4" s="14">
        <f t="shared" ref="AW4:AW11" si="19">3298/30*AU4</f>
        <v>3298</v>
      </c>
      <c r="AX4" s="15">
        <v>5</v>
      </c>
      <c r="BB4" s="13">
        <v>2</v>
      </c>
      <c r="BC4" s="17">
        <v>1</v>
      </c>
      <c r="BD4" s="18">
        <v>0.04</v>
      </c>
      <c r="BE4" s="58"/>
    </row>
    <row r="5" spans="1:57" ht="39.950000000000003" customHeight="1" x14ac:dyDescent="0.25">
      <c r="A5" s="82"/>
      <c r="B5" s="80" t="s">
        <v>90</v>
      </c>
      <c r="C5" s="77">
        <f>AK17</f>
        <v>2546.2199999999998</v>
      </c>
      <c r="D5" s="44"/>
      <c r="E5" s="44"/>
      <c r="F5" s="44"/>
      <c r="G5" s="60"/>
      <c r="H5" s="44"/>
      <c r="I5" s="44"/>
      <c r="J5" s="48"/>
      <c r="K5" s="49"/>
      <c r="L5" s="50"/>
      <c r="M5" s="44"/>
      <c r="N5" s="44"/>
      <c r="O5" s="44"/>
      <c r="P5" s="44"/>
      <c r="Q5" s="71"/>
      <c r="R5" s="66"/>
      <c r="S5" s="70"/>
      <c r="T5" s="73"/>
      <c r="U5" s="72"/>
      <c r="V5" s="62"/>
      <c r="W5" s="61"/>
      <c r="X5" s="55"/>
      <c r="Y5" s="13" t="s">
        <v>68</v>
      </c>
      <c r="Z5" s="14">
        <f t="shared" ref="Z5:Z10" ca="1" si="20">IF(AA5&gt;0,AA5,AA5*-1)</f>
        <v>0</v>
      </c>
      <c r="AA5" s="14">
        <f ca="1">COUNTIF(R1,"Ocak")*(AX15)
+COUNTIF(R1,"Şubat")*(AX16)
+COUNTIF(R1,"Mart")*(AX17)
+COUNTIF(R1,"Nisan")*(AX18)
+COUNTIF(R1,"Mayıs")*(AX19)
+COUNTIF(R1,"Haziran")*(AX20)
+COUNTIF(R1,"Temmuz")*(AX21)
+COUNTIF(R1,"Ağustos")*(AX22)
+COUNTIF(R1,"Eylül")*(AX23)
+COUNTIF(R1,"Ekim")*(AX24)
+COUNTIF(R1,"Kasım")*(AX25)
+COUNTIF(R1,"Aralık")*(AX26)
+COUNTIF(R1,"Yıllık Toplam")*(AX27)
+COUNTIF(R1,"Yıllık Ortalama")*(AX28)</f>
        <v>0</v>
      </c>
      <c r="AB5" s="13" t="s">
        <v>0</v>
      </c>
      <c r="AC5" s="13" t="s">
        <v>0</v>
      </c>
      <c r="AD5" s="14">
        <f>($AD$16)</f>
        <v>3154.6307830000001</v>
      </c>
      <c r="AE5" s="14">
        <f>($AE$16)</f>
        <v>3154.6307830000001</v>
      </c>
      <c r="AF5" s="14">
        <f t="shared" si="1"/>
        <v>7800</v>
      </c>
      <c r="AG5" s="14">
        <f t="shared" ca="1" si="7"/>
        <v>7246.2</v>
      </c>
      <c r="AH5" s="14">
        <f t="shared" si="8"/>
        <v>7800</v>
      </c>
      <c r="AI5" s="14">
        <f t="shared" si="9"/>
        <v>7800</v>
      </c>
      <c r="AJ5" s="14">
        <f t="shared" si="10"/>
        <v>0</v>
      </c>
      <c r="AK5" s="14">
        <f t="shared" si="11"/>
        <v>0</v>
      </c>
      <c r="AL5" s="14">
        <f t="shared" si="12"/>
        <v>7800</v>
      </c>
      <c r="AM5" s="14">
        <f t="shared" si="2"/>
        <v>4108</v>
      </c>
      <c r="AN5" s="14">
        <f t="shared" si="13"/>
        <v>3692</v>
      </c>
      <c r="AO5" s="14">
        <f t="shared" si="14"/>
        <v>-516.88</v>
      </c>
      <c r="AP5" s="14">
        <f t="shared" si="15"/>
        <v>-36.92</v>
      </c>
      <c r="AQ5" s="14">
        <f t="shared" si="16"/>
        <v>7246.2</v>
      </c>
      <c r="AR5" s="14">
        <f t="shared" si="3"/>
        <v>7246.2</v>
      </c>
      <c r="AS5" s="14">
        <f t="shared" si="17"/>
        <v>0</v>
      </c>
      <c r="AT5" s="14">
        <f t="shared" ca="1" si="4"/>
        <v>0</v>
      </c>
      <c r="AU5" s="15">
        <v>30</v>
      </c>
      <c r="AV5" s="14">
        <f t="shared" ca="1" si="5"/>
        <v>4904.7456165137346</v>
      </c>
      <c r="AW5" s="14">
        <f t="shared" si="19"/>
        <v>3298</v>
      </c>
      <c r="AX5" s="15">
        <v>5</v>
      </c>
      <c r="BB5" s="13">
        <v>3</v>
      </c>
      <c r="BC5" s="17">
        <v>1.5</v>
      </c>
      <c r="BD5" s="18">
        <v>0.05</v>
      </c>
      <c r="BE5" s="58"/>
    </row>
    <row r="6" spans="1:57" ht="39.950000000000003" customHeight="1" x14ac:dyDescent="0.25">
      <c r="A6" s="82"/>
      <c r="B6" s="80"/>
      <c r="C6" s="77"/>
      <c r="D6" s="44"/>
      <c r="E6" s="44"/>
      <c r="F6" s="44"/>
      <c r="G6" s="60"/>
      <c r="H6" s="44"/>
      <c r="I6" s="44"/>
      <c r="J6" s="48"/>
      <c r="K6" s="49"/>
      <c r="L6" s="50"/>
      <c r="M6" s="44"/>
      <c r="N6" s="44"/>
      <c r="O6" s="44"/>
      <c r="P6" s="44"/>
      <c r="Q6" s="71"/>
      <c r="R6" s="66"/>
      <c r="S6" s="70"/>
      <c r="T6" s="73"/>
      <c r="U6" s="72"/>
      <c r="V6" s="62"/>
      <c r="W6" s="61"/>
      <c r="X6" s="55"/>
      <c r="Y6" s="13" t="s">
        <v>69</v>
      </c>
      <c r="Z6" s="14">
        <f t="shared" ca="1" si="20"/>
        <v>0</v>
      </c>
      <c r="AA6" s="14">
        <f ca="1">COUNTIF(R1,"Ocak")*(AG29)
+COUNTIF(R1,"Şubat")*(AG30)
+COUNTIF(R1,"Mart")*(AG31)
+COUNTIF(R1,"Nisan")*(AG32)
+COUNTIF(R1,"Mayıs")*(AG33)
+COUNTIF(R1,"Haziran")*(AG34)
+COUNTIF(R1,"Temmuz")*(AG35)
+COUNTIF(R1,"Ağustos")*(AG36)
+COUNTIF(R1,"Eylül")*(AG37)
+COUNTIF(R1,"Ekim")*(AG38)
+COUNTIF(R1,"Kasım")*(AG39)
+COUNTIF(R1,"Aralık")*(AG40)
+COUNTIF(R1,"Yıllık Toplam")*(AG41)
+COUNTIF(R1,"Yıllık Ortalama")*(AG42)</f>
        <v>0</v>
      </c>
      <c r="AB6" s="13" t="s">
        <v>0</v>
      </c>
      <c r="AC6" s="13" t="s">
        <v>0</v>
      </c>
      <c r="AD6" s="14">
        <f>($AD$17)</f>
        <v>693.93550000000005</v>
      </c>
      <c r="AE6" s="14">
        <f>($AE$17)</f>
        <v>693.93550000000005</v>
      </c>
      <c r="AF6" s="14">
        <f t="shared" si="1"/>
        <v>7800</v>
      </c>
      <c r="AG6" s="14">
        <f t="shared" ca="1" si="7"/>
        <v>7246.2</v>
      </c>
      <c r="AH6" s="14">
        <f t="shared" si="8"/>
        <v>7800</v>
      </c>
      <c r="AI6" s="14">
        <f t="shared" si="9"/>
        <v>7800</v>
      </c>
      <c r="AJ6" s="14">
        <f t="shared" si="10"/>
        <v>0</v>
      </c>
      <c r="AK6" s="14">
        <f t="shared" si="11"/>
        <v>0</v>
      </c>
      <c r="AL6" s="14">
        <f t="shared" si="12"/>
        <v>7800</v>
      </c>
      <c r="AM6" s="14">
        <f t="shared" si="2"/>
        <v>4108</v>
      </c>
      <c r="AN6" s="14">
        <f t="shared" si="13"/>
        <v>3692</v>
      </c>
      <c r="AO6" s="14">
        <f t="shared" si="14"/>
        <v>-516.88</v>
      </c>
      <c r="AP6" s="14">
        <f t="shared" si="15"/>
        <v>-36.92</v>
      </c>
      <c r="AQ6" s="14">
        <f t="shared" si="16"/>
        <v>7246.2</v>
      </c>
      <c r="AR6" s="14">
        <f t="shared" si="3"/>
        <v>7246.2</v>
      </c>
      <c r="AS6" s="14">
        <f t="shared" si="17"/>
        <v>0</v>
      </c>
      <c r="AT6" s="14">
        <f t="shared" ca="1" si="4"/>
        <v>0</v>
      </c>
      <c r="AU6" s="15">
        <v>30</v>
      </c>
      <c r="AV6" s="14">
        <f t="shared" ca="1" si="5"/>
        <v>5269.1221963214512</v>
      </c>
      <c r="AW6" s="14">
        <f t="shared" si="19"/>
        <v>3298</v>
      </c>
      <c r="AX6" s="15">
        <v>5</v>
      </c>
      <c r="BB6" s="13">
        <v>4</v>
      </c>
      <c r="BC6" s="17">
        <v>2</v>
      </c>
      <c r="BD6" s="18">
        <v>0.06</v>
      </c>
      <c r="BE6" s="58"/>
    </row>
    <row r="7" spans="1:57" ht="39.950000000000003" customHeight="1" x14ac:dyDescent="0.25">
      <c r="A7" s="82"/>
      <c r="B7" s="80"/>
      <c r="C7" s="77"/>
      <c r="D7" s="44"/>
      <c r="E7" s="44"/>
      <c r="F7" s="44"/>
      <c r="G7" s="60"/>
      <c r="H7" s="44"/>
      <c r="I7" s="44"/>
      <c r="J7" s="48"/>
      <c r="K7" s="49"/>
      <c r="L7" s="50"/>
      <c r="M7" s="44"/>
      <c r="N7" s="44"/>
      <c r="O7" s="44"/>
      <c r="P7" s="44"/>
      <c r="Q7" s="71"/>
      <c r="R7" s="66"/>
      <c r="S7" s="70"/>
      <c r="T7" s="73"/>
      <c r="U7" s="72"/>
      <c r="V7" s="62"/>
      <c r="W7" s="61"/>
      <c r="X7" s="55"/>
      <c r="Y7" s="13" t="s">
        <v>6</v>
      </c>
      <c r="Z7" s="14">
        <f t="shared" ca="1" si="20"/>
        <v>7246.199999999998</v>
      </c>
      <c r="AA7" s="14">
        <f ca="1">COUNTIF(R1,"Ocak")*(AG1)
+COUNTIF(R1,"Şubat")*(AG2)
+COUNTIF(R1,"Mart")*(AG3)
+COUNTIF(R1,"Nisan")*(AG4)
+COUNTIF(R1,"Mayıs")*(AG5)
+COUNTIF(R1,"Haziran")*(AG6)
+COUNTIF(R1,"Temmuz")*(AG7)
+COUNTIF(R1,"Ağustos")*(AG8)
+COUNTIF(R1,"Eylül")*(AG9)
+COUNTIF(R1,"Ekim")*(AG10)
+COUNTIF(R1,"Kasım")*(AG11)
+COUNTIF(R1,"Aralık")*(AG12)
+COUNTIF(R1,"Yıllık Toplam")*(AG13)
+COUNTIF(R1,"Yıllık Ortalama")*(AG14)</f>
        <v>7246.199999999998</v>
      </c>
      <c r="AB7" s="13" t="s">
        <v>0</v>
      </c>
      <c r="AC7" s="13" t="s">
        <v>0</v>
      </c>
      <c r="AD7" s="14">
        <f>($AD$18)</f>
        <v>346.96775000000002</v>
      </c>
      <c r="AE7" s="14">
        <f>($AE$18)</f>
        <v>346.96775000000002</v>
      </c>
      <c r="AF7" s="14">
        <f t="shared" si="1"/>
        <v>7800</v>
      </c>
      <c r="AG7" s="14">
        <f t="shared" ca="1" si="7"/>
        <v>7246.2</v>
      </c>
      <c r="AH7" s="14">
        <f t="shared" si="8"/>
        <v>7800</v>
      </c>
      <c r="AI7" s="14">
        <f t="shared" si="9"/>
        <v>7800</v>
      </c>
      <c r="AJ7" s="14">
        <f t="shared" si="10"/>
        <v>0</v>
      </c>
      <c r="AK7" s="14">
        <f t="shared" si="11"/>
        <v>0</v>
      </c>
      <c r="AL7" s="14">
        <f t="shared" si="12"/>
        <v>7800</v>
      </c>
      <c r="AM7" s="14">
        <f t="shared" ref="AM7:AM12" si="21">IF($AE$13*I21&gt;=AL7,AL7,$AE$13*I21)</f>
        <v>4108</v>
      </c>
      <c r="AN7" s="14">
        <f t="shared" si="13"/>
        <v>3692</v>
      </c>
      <c r="AO7" s="14">
        <f t="shared" si="14"/>
        <v>-516.88</v>
      </c>
      <c r="AP7" s="14">
        <f t="shared" si="15"/>
        <v>-36.92</v>
      </c>
      <c r="AQ7" s="14">
        <f t="shared" si="16"/>
        <v>7246.2</v>
      </c>
      <c r="AR7" s="14">
        <f t="shared" ref="AR7:AR12" si="22">IF($AE$14*I21&gt;=AQ7,AQ7,$AE$14*I21)</f>
        <v>7246.2</v>
      </c>
      <c r="AS7" s="14">
        <f t="shared" si="17"/>
        <v>0</v>
      </c>
      <c r="AT7" s="14">
        <f t="shared" ca="1" si="4"/>
        <v>0</v>
      </c>
      <c r="AU7" s="15">
        <v>30</v>
      </c>
      <c r="AV7" s="14">
        <f t="shared" ca="1" si="5"/>
        <v>5380.8878954495767</v>
      </c>
      <c r="AW7" s="14">
        <f t="shared" si="19"/>
        <v>3298</v>
      </c>
      <c r="AX7" s="15">
        <v>5</v>
      </c>
      <c r="BB7" s="13">
        <v>5</v>
      </c>
      <c r="BC7" s="17">
        <v>2.5</v>
      </c>
      <c r="BD7" s="18">
        <v>7.0000000000000007E-2</v>
      </c>
      <c r="BE7" s="58"/>
    </row>
    <row r="8" spans="1:57" ht="39.950000000000003" customHeight="1" x14ac:dyDescent="0.25">
      <c r="A8" s="82"/>
      <c r="B8" s="80"/>
      <c r="C8" s="77"/>
      <c r="D8" s="44"/>
      <c r="E8" s="44"/>
      <c r="F8" s="44"/>
      <c r="G8" s="60"/>
      <c r="H8" s="44"/>
      <c r="I8" s="44"/>
      <c r="J8" s="48"/>
      <c r="K8" s="49"/>
      <c r="L8" s="50"/>
      <c r="M8" s="44"/>
      <c r="N8" s="44"/>
      <c r="O8" s="44"/>
      <c r="P8" s="44"/>
      <c r="Q8" s="71"/>
      <c r="R8" s="66"/>
      <c r="S8" s="70"/>
      <c r="T8" s="73"/>
      <c r="U8" s="72"/>
      <c r="V8" s="62"/>
      <c r="W8" s="61"/>
      <c r="X8" s="55"/>
      <c r="Y8" s="13" t="s">
        <v>17</v>
      </c>
      <c r="Z8" s="14">
        <f t="shared" si="20"/>
        <v>3229.25</v>
      </c>
      <c r="AA8" s="14">
        <f>COUNTIF(R1,"Ocak")*(AW1)
+COUNTIF(R1,"Şubat")*(AW2)
+COUNTIF(R1,"Mart")*(AW3)
+COUNTIF(R1,"Nisan")*(AW4)
+COUNTIF(R1,"Mayıs")*(AW5)
+COUNTIF(R1,"Haziran")*(AW6)
+COUNTIF(R1,"Temmuz")*(AW7)
+COUNTIF(R1,"Ağustos")*(AW8)
+COUNTIF(R1,"Eylül")*(AW9)
+COUNTIF(R1,"Ekim")*(AW10)
+COUNTIF(R1,"Kasım")*(AW11)
+COUNTIF(R1,"Aralık")*(AW12)
+COUNTIF(R1,"Yıllık Toplam")*(AW13)
+COUNTIF(R1,"Yıllık Ortalama")*(AW14)</f>
        <v>3229.25</v>
      </c>
      <c r="AB8" s="14" t="s">
        <v>0</v>
      </c>
      <c r="AC8" s="13" t="s">
        <v>0</v>
      </c>
      <c r="AD8" s="14">
        <v>33030</v>
      </c>
      <c r="AE8" s="14">
        <v>33030</v>
      </c>
      <c r="AF8" s="14">
        <f t="shared" si="1"/>
        <v>7800</v>
      </c>
      <c r="AG8" s="14">
        <f t="shared" ca="1" si="7"/>
        <v>7246.2</v>
      </c>
      <c r="AH8" s="14">
        <f t="shared" si="8"/>
        <v>7800</v>
      </c>
      <c r="AI8" s="14">
        <f t="shared" si="9"/>
        <v>7800</v>
      </c>
      <c r="AJ8" s="14">
        <f t="shared" si="10"/>
        <v>0</v>
      </c>
      <c r="AK8" s="14">
        <f t="shared" si="11"/>
        <v>0</v>
      </c>
      <c r="AL8" s="14">
        <f t="shared" si="12"/>
        <v>7800</v>
      </c>
      <c r="AM8" s="14">
        <f t="shared" si="21"/>
        <v>4108</v>
      </c>
      <c r="AN8" s="14">
        <f t="shared" si="13"/>
        <v>3692</v>
      </c>
      <c r="AO8" s="14">
        <f t="shared" si="14"/>
        <v>-516.88</v>
      </c>
      <c r="AP8" s="14">
        <f t="shared" si="15"/>
        <v>-36.92</v>
      </c>
      <c r="AQ8" s="14">
        <f t="shared" si="16"/>
        <v>7246.2</v>
      </c>
      <c r="AR8" s="14">
        <f t="shared" si="22"/>
        <v>7246.2</v>
      </c>
      <c r="AS8" s="14">
        <f t="shared" si="17"/>
        <v>0</v>
      </c>
      <c r="AT8" s="14">
        <f t="shared" ca="1" si="4"/>
        <v>0</v>
      </c>
      <c r="AU8" s="15">
        <v>30</v>
      </c>
      <c r="AV8" s="14">
        <f t="shared" ca="1" si="5"/>
        <v>5380.8878954495767</v>
      </c>
      <c r="AW8" s="14">
        <f t="shared" si="19"/>
        <v>3298</v>
      </c>
      <c r="AX8" s="15">
        <v>5</v>
      </c>
      <c r="BB8" s="13">
        <v>6</v>
      </c>
      <c r="BC8" s="17">
        <v>3</v>
      </c>
      <c r="BD8" s="18">
        <v>0.08</v>
      </c>
      <c r="BE8" s="58"/>
    </row>
    <row r="9" spans="1:57" ht="39.950000000000003" customHeight="1" x14ac:dyDescent="0.25">
      <c r="A9" s="82"/>
      <c r="B9" s="81"/>
      <c r="C9" s="78"/>
      <c r="D9" s="44"/>
      <c r="E9" s="44"/>
      <c r="F9" s="44"/>
      <c r="G9" s="60"/>
      <c r="H9" s="44"/>
      <c r="I9" s="44"/>
      <c r="J9" s="48"/>
      <c r="K9" s="49"/>
      <c r="L9" s="50"/>
      <c r="M9" s="44"/>
      <c r="N9" s="44"/>
      <c r="O9" s="44"/>
      <c r="P9" s="44"/>
      <c r="Q9" s="71"/>
      <c r="R9" s="66"/>
      <c r="S9" s="70"/>
      <c r="T9" s="73"/>
      <c r="U9" s="72"/>
      <c r="V9" s="62"/>
      <c r="W9" s="61"/>
      <c r="X9" s="55"/>
      <c r="Y9" s="13" t="s">
        <v>22</v>
      </c>
      <c r="Z9" s="14">
        <f t="shared" ca="1" si="20"/>
        <v>8279.1274509855884</v>
      </c>
      <c r="AA9" s="14">
        <f ca="1">COUNTIF(R1,"Ocak")*(AJ29)
+COUNTIF(R1,"Şubat")*(AJ30)
+COUNTIF(R1,"Mart")*(AJ31)
+COUNTIF(R1,"Nisan")*(AJ32)
+COUNTIF(R1,"Mayıs")*(AJ33)
+COUNTIF(R1,"Haziran")*(AJ34)
+COUNTIF(R1,"Temmuz")*(AJ35)
+COUNTIF(R1,"Ağustos")*(AJ36)
+COUNTIF(R1,"Eylül")*(AJ37)
+COUNTIF(R1,"Ekim")*(AJ38)
+COUNTIF(R1,"Kasım")*(AJ39)
+COUNTIF(R1,"Aralık")*(AJ40)
+COUNTIF(R1,"Yıllık Toplam")*(AJ41)
+COUNTIF(R1,"Yıllık Ortalama")*(AJ42)</f>
        <v>8279.1274509855884</v>
      </c>
      <c r="AB9" s="14" t="s">
        <v>0</v>
      </c>
      <c r="AC9" s="13" t="s">
        <v>0</v>
      </c>
      <c r="AD9" s="14">
        <v>0</v>
      </c>
      <c r="AE9" s="14">
        <v>0</v>
      </c>
      <c r="AF9" s="14">
        <f t="shared" si="1"/>
        <v>7800</v>
      </c>
      <c r="AG9" s="14">
        <f t="shared" ca="1" si="7"/>
        <v>7246.2</v>
      </c>
      <c r="AH9" s="14">
        <f t="shared" si="8"/>
        <v>7800</v>
      </c>
      <c r="AI9" s="14">
        <f t="shared" si="9"/>
        <v>7800</v>
      </c>
      <c r="AJ9" s="14">
        <f t="shared" si="10"/>
        <v>0</v>
      </c>
      <c r="AK9" s="14">
        <f t="shared" si="11"/>
        <v>0</v>
      </c>
      <c r="AL9" s="14">
        <f t="shared" si="12"/>
        <v>7800</v>
      </c>
      <c r="AM9" s="14">
        <f t="shared" si="21"/>
        <v>4108</v>
      </c>
      <c r="AN9" s="14">
        <f t="shared" si="13"/>
        <v>3692</v>
      </c>
      <c r="AO9" s="14">
        <f t="shared" si="14"/>
        <v>-516.88</v>
      </c>
      <c r="AP9" s="14">
        <f t="shared" si="15"/>
        <v>-36.92</v>
      </c>
      <c r="AQ9" s="14">
        <f t="shared" si="16"/>
        <v>7246.2</v>
      </c>
      <c r="AR9" s="14">
        <f t="shared" si="22"/>
        <v>7246.2</v>
      </c>
      <c r="AS9" s="14">
        <f t="shared" si="17"/>
        <v>0</v>
      </c>
      <c r="AT9" s="14">
        <f t="shared" ca="1" si="4"/>
        <v>0</v>
      </c>
      <c r="AU9" s="15">
        <v>30</v>
      </c>
      <c r="AV9" s="14">
        <f t="shared" ca="1" si="5"/>
        <v>5380.8878954495767</v>
      </c>
      <c r="AW9" s="14">
        <f t="shared" si="19"/>
        <v>3298</v>
      </c>
      <c r="AX9" s="15">
        <v>5</v>
      </c>
      <c r="BB9" s="13">
        <v>7</v>
      </c>
      <c r="BC9" s="17">
        <v>3.5</v>
      </c>
      <c r="BD9" s="18">
        <v>0.09</v>
      </c>
      <c r="BE9" s="58"/>
    </row>
    <row r="10" spans="1:57" ht="39.950000000000003" customHeight="1" x14ac:dyDescent="0.25">
      <c r="A10" s="82"/>
      <c r="B10" s="79" t="s">
        <v>76</v>
      </c>
      <c r="C10" s="76">
        <f>AK23</f>
        <v>2928.15</v>
      </c>
      <c r="D10" s="44"/>
      <c r="E10" s="44"/>
      <c r="F10" s="44"/>
      <c r="G10" s="60"/>
      <c r="H10" s="44"/>
      <c r="I10" s="44"/>
      <c r="J10" s="48"/>
      <c r="K10" s="49"/>
      <c r="L10" s="50"/>
      <c r="M10" s="44"/>
      <c r="N10" s="44"/>
      <c r="O10" s="44"/>
      <c r="P10" s="44"/>
      <c r="Q10" s="71"/>
      <c r="R10" s="66"/>
      <c r="S10" s="70"/>
      <c r="T10" s="73"/>
      <c r="U10" s="72"/>
      <c r="V10" s="62"/>
      <c r="W10" s="61"/>
      <c r="X10" s="55"/>
      <c r="Y10" s="13" t="s">
        <v>7</v>
      </c>
      <c r="Z10" s="14">
        <f t="shared" ca="1" si="20"/>
        <v>4505.320166127146</v>
      </c>
      <c r="AA10" s="14">
        <f ca="1">COUNTIF(R1,"Ocak")*(AM29)
+COUNTIF(R1,"Şubat")*(AM30)
+COUNTIF(R1,"Mart")*(AM31)
+COUNTIF(R1,"Nisan")*(AM32)
+COUNTIF(R1,"Mayıs")*(AM33)
+COUNTIF(R1,"Haziran")*(AM34)
+COUNTIF(R1,"Temmuz")*(AM35)
+COUNTIF(R1,"Ağustos")*(AM36)
+COUNTIF(R1,"Eylül")*(AM37)
+COUNTIF(R1,"Ekim")*(AM38)
+COUNTIF(R1,"Kasım")*(AM39)
+COUNTIF(R1,"Aralık")*(AM40)
+COUNTIF(R1,"Yıllık Toplam")*(AM41)
+COUNTIF(R1,"Yıllık Ortalama")*(AM42)</f>
        <v>4505.320166127146</v>
      </c>
      <c r="AB10" s="14" t="s">
        <v>0</v>
      </c>
      <c r="AC10" s="13" t="s">
        <v>0</v>
      </c>
      <c r="AD10" s="14">
        <v>158</v>
      </c>
      <c r="AE10" s="14">
        <v>158</v>
      </c>
      <c r="AF10" s="14">
        <f t="shared" si="1"/>
        <v>7800</v>
      </c>
      <c r="AG10" s="14">
        <f t="shared" ca="1" si="7"/>
        <v>7246.2</v>
      </c>
      <c r="AH10" s="14">
        <f t="shared" si="8"/>
        <v>7800</v>
      </c>
      <c r="AI10" s="14">
        <f t="shared" si="9"/>
        <v>7800</v>
      </c>
      <c r="AJ10" s="14">
        <f t="shared" si="10"/>
        <v>0</v>
      </c>
      <c r="AK10" s="14">
        <f t="shared" si="11"/>
        <v>0</v>
      </c>
      <c r="AL10" s="14">
        <f t="shared" si="12"/>
        <v>7800</v>
      </c>
      <c r="AM10" s="14">
        <f t="shared" si="21"/>
        <v>4108</v>
      </c>
      <c r="AN10" s="14">
        <f t="shared" si="13"/>
        <v>3692</v>
      </c>
      <c r="AO10" s="14">
        <f t="shared" si="14"/>
        <v>-516.88</v>
      </c>
      <c r="AP10" s="14">
        <f t="shared" si="15"/>
        <v>-36.92</v>
      </c>
      <c r="AQ10" s="14">
        <f t="shared" si="16"/>
        <v>7246.2</v>
      </c>
      <c r="AR10" s="14">
        <f t="shared" si="22"/>
        <v>7246.2</v>
      </c>
      <c r="AS10" s="14">
        <f t="shared" si="17"/>
        <v>0</v>
      </c>
      <c r="AT10" s="14">
        <f t="shared" ca="1" si="4"/>
        <v>0</v>
      </c>
      <c r="AU10" s="15">
        <v>30</v>
      </c>
      <c r="AV10" s="14">
        <f t="shared" ca="1" si="5"/>
        <v>5380.8878954495767</v>
      </c>
      <c r="AW10" s="14">
        <f t="shared" si="19"/>
        <v>3298</v>
      </c>
      <c r="AX10" s="15">
        <v>5</v>
      </c>
      <c r="BB10" s="13">
        <v>8</v>
      </c>
      <c r="BC10" s="17">
        <v>4</v>
      </c>
      <c r="BD10" s="18">
        <v>0.1</v>
      </c>
      <c r="BE10" s="58"/>
    </row>
    <row r="11" spans="1:57" ht="39.950000000000003" customHeight="1" x14ac:dyDescent="0.25">
      <c r="A11" s="82"/>
      <c r="B11" s="80"/>
      <c r="C11" s="77"/>
      <c r="D11" s="44"/>
      <c r="E11" s="44"/>
      <c r="F11" s="44"/>
      <c r="G11" s="60"/>
      <c r="H11" s="44"/>
      <c r="I11" s="44"/>
      <c r="J11" s="48"/>
      <c r="K11" s="49"/>
      <c r="L11" s="50"/>
      <c r="M11" s="44"/>
      <c r="N11" s="44"/>
      <c r="O11" s="44"/>
      <c r="P11" s="44"/>
      <c r="Q11" s="71"/>
      <c r="R11" s="66"/>
      <c r="S11" s="70"/>
      <c r="T11" s="73"/>
      <c r="U11" s="72"/>
      <c r="V11" s="62"/>
      <c r="W11" s="61"/>
      <c r="X11" s="55"/>
      <c r="Y11" s="13" t="s">
        <v>24</v>
      </c>
      <c r="Z11" s="14">
        <f t="shared" ref="Z11:Z20" si="23">IF(AA11&gt;0,AA11,AA11*-1)</f>
        <v>255.66666666666666</v>
      </c>
      <c r="AA11" s="14">
        <f>COUNTIF(R1,"Ocak")*(AP29)
+COUNTIF(R1,"Şubat")*(AP30)
+COUNTIF(R1,"Mart")*(AP31)
+COUNTIF(R1,"Nisan")*(AP32)
+COUNTIF(R1,"Mayıs")*(AP33)
+COUNTIF(R1,"Haziran")*(AP34)
+COUNTIF(R1,"Temmuz")*(AP35)
+COUNTIF(R1,"Ağustos")*(AP36)
+COUNTIF(R1,"Eylül")*(AP37)
+COUNTIF(R1,"Ekim")*(AP38)
+COUNTIF(R1,"Kasım")*(AP39)
+COUNTIF(R1,"Aralık")*(AP40)
+COUNTIF(R1,"Yıllık Toplam")*(AP41)
+COUNTIF(R1,"Yıllık Ortalama")*(AP42)</f>
        <v>255.66666666666666</v>
      </c>
      <c r="AB11" s="14" t="s">
        <v>0</v>
      </c>
      <c r="AC11" s="13" t="s">
        <v>0</v>
      </c>
      <c r="AD11" s="14">
        <v>1000</v>
      </c>
      <c r="AE11" s="14">
        <v>1000</v>
      </c>
      <c r="AF11" s="14">
        <f t="shared" si="1"/>
        <v>7800</v>
      </c>
      <c r="AG11" s="14">
        <f t="shared" ca="1" si="7"/>
        <v>7246.2</v>
      </c>
      <c r="AH11" s="14">
        <f t="shared" si="8"/>
        <v>7800</v>
      </c>
      <c r="AI11" s="14">
        <f t="shared" si="9"/>
        <v>7800</v>
      </c>
      <c r="AJ11" s="14">
        <f t="shared" si="10"/>
        <v>0</v>
      </c>
      <c r="AK11" s="14">
        <f t="shared" si="11"/>
        <v>0</v>
      </c>
      <c r="AL11" s="14">
        <f t="shared" si="12"/>
        <v>7800</v>
      </c>
      <c r="AM11" s="14">
        <f t="shared" si="21"/>
        <v>4108</v>
      </c>
      <c r="AN11" s="14">
        <f t="shared" si="13"/>
        <v>3692</v>
      </c>
      <c r="AO11" s="14">
        <f t="shared" si="14"/>
        <v>-516.88</v>
      </c>
      <c r="AP11" s="14">
        <f t="shared" si="15"/>
        <v>-36.92</v>
      </c>
      <c r="AQ11" s="14">
        <f t="shared" si="16"/>
        <v>7246.2</v>
      </c>
      <c r="AR11" s="14">
        <f t="shared" si="22"/>
        <v>7246.2</v>
      </c>
      <c r="AS11" s="14">
        <f t="shared" si="17"/>
        <v>0</v>
      </c>
      <c r="AT11" s="14">
        <f t="shared" ca="1" si="4"/>
        <v>0</v>
      </c>
      <c r="AU11" s="15">
        <v>30</v>
      </c>
      <c r="AV11" s="14">
        <f t="shared" ca="1" si="5"/>
        <v>5380.8878954495767</v>
      </c>
      <c r="AW11" s="14">
        <f t="shared" si="19"/>
        <v>3298</v>
      </c>
      <c r="AX11" s="15">
        <v>5</v>
      </c>
      <c r="BB11" s="13">
        <v>9</v>
      </c>
      <c r="BC11" s="17">
        <v>4.5</v>
      </c>
      <c r="BD11" s="18">
        <v>0.11</v>
      </c>
      <c r="BE11" s="58"/>
    </row>
    <row r="12" spans="1:57" ht="39.950000000000003" customHeight="1" x14ac:dyDescent="0.25">
      <c r="A12" s="82"/>
      <c r="B12" s="80"/>
      <c r="C12" s="77"/>
      <c r="D12" s="44"/>
      <c r="E12" s="44"/>
      <c r="F12" s="44"/>
      <c r="G12" s="60"/>
      <c r="H12" s="44"/>
      <c r="I12" s="44"/>
      <c r="J12" s="48"/>
      <c r="K12" s="49"/>
      <c r="L12" s="50"/>
      <c r="M12" s="44"/>
      <c r="N12" s="44"/>
      <c r="O12" s="44"/>
      <c r="P12" s="44"/>
      <c r="Q12" s="71"/>
      <c r="R12" s="66"/>
      <c r="S12" s="70"/>
      <c r="T12" s="73"/>
      <c r="U12" s="72"/>
      <c r="V12" s="62"/>
      <c r="W12" s="61"/>
      <c r="X12" s="55"/>
      <c r="Y12" s="13" t="s">
        <v>25</v>
      </c>
      <c r="Z12" s="14">
        <f t="shared" si="23"/>
        <v>2347.1219999999998</v>
      </c>
      <c r="AA12" s="14">
        <f>COUNTIF(R1,"Ocak")*(AR29)*-1
+COUNTIF(R1,"Şubat")*(AR30)*-1
+COUNTIF(R1,"Mart")*(AR31)*-1
+COUNTIF(R1,"Nisan")*(AR32)*-1
+COUNTIF(R1,"Mayıs")*(AR33)*-1
+COUNTIF(R1,"Haziran")*(AR34)*-1
+COUNTIF(R1,"Temmuz")*(AR35)*-1
+COUNTIF(R1,"Ağustos")*(AR36)*-1
+COUNTIF(R1,"Eylül")*(AR37)*-1
+COUNTIF(R1,"Ekim")*(AR38)*-1
+COUNTIF(R1,"Kasım")*(AR39)*-1
+COUNTIF(R1,"Aralık")*(AR40)*-1
+COUNTIF(R1,"Yıllık Toplam")*(AR41)*-1
+COUNTIF(R1,"Yıllık Ortalama")*(AR42)*-1</f>
        <v>2347.1219999999998</v>
      </c>
      <c r="AB12" s="14" t="s">
        <v>0</v>
      </c>
      <c r="AC12" s="13" t="s">
        <v>0</v>
      </c>
      <c r="AD12" s="14">
        <v>1000</v>
      </c>
      <c r="AE12" s="14">
        <v>1000</v>
      </c>
      <c r="AF12" s="14">
        <f t="shared" si="1"/>
        <v>7800</v>
      </c>
      <c r="AG12" s="14">
        <f t="shared" ca="1" si="7"/>
        <v>7246.2</v>
      </c>
      <c r="AH12" s="14">
        <f t="shared" si="8"/>
        <v>7800</v>
      </c>
      <c r="AI12" s="14">
        <f t="shared" si="9"/>
        <v>7800</v>
      </c>
      <c r="AJ12" s="14">
        <f t="shared" si="10"/>
        <v>0</v>
      </c>
      <c r="AK12" s="14">
        <f t="shared" si="11"/>
        <v>0</v>
      </c>
      <c r="AL12" s="14">
        <f t="shared" si="12"/>
        <v>7800</v>
      </c>
      <c r="AM12" s="14">
        <f t="shared" si="21"/>
        <v>4108</v>
      </c>
      <c r="AN12" s="14">
        <f t="shared" si="13"/>
        <v>3692</v>
      </c>
      <c r="AO12" s="14">
        <f t="shared" si="14"/>
        <v>-516.88</v>
      </c>
      <c r="AP12" s="14">
        <f t="shared" si="15"/>
        <v>-36.92</v>
      </c>
      <c r="AQ12" s="14">
        <f t="shared" si="16"/>
        <v>7246.2</v>
      </c>
      <c r="AR12" s="14">
        <f t="shared" si="22"/>
        <v>7246.2</v>
      </c>
      <c r="AS12" s="14">
        <f t="shared" si="17"/>
        <v>0</v>
      </c>
      <c r="AT12" s="14">
        <f t="shared" ca="1" si="4"/>
        <v>0</v>
      </c>
      <c r="AU12" s="15">
        <v>30</v>
      </c>
      <c r="AV12" s="14">
        <f t="shared" ca="1" si="5"/>
        <v>5380.8878954495767</v>
      </c>
      <c r="AW12" s="14">
        <f t="shared" ref="AW12" si="24">3298/30*AU12</f>
        <v>3298</v>
      </c>
      <c r="AX12" s="15">
        <v>5</v>
      </c>
      <c r="BB12" s="13">
        <v>10</v>
      </c>
      <c r="BC12" s="17">
        <v>5</v>
      </c>
      <c r="BD12" s="18">
        <v>0.12</v>
      </c>
      <c r="BE12" s="58"/>
    </row>
    <row r="13" spans="1:57" ht="39.950000000000003" customHeight="1" x14ac:dyDescent="0.25">
      <c r="A13" s="82"/>
      <c r="B13" s="80"/>
      <c r="C13" s="77"/>
      <c r="D13" s="44"/>
      <c r="E13" s="44"/>
      <c r="F13" s="44"/>
      <c r="G13" s="60"/>
      <c r="H13" s="44"/>
      <c r="I13" s="44"/>
      <c r="J13" s="48"/>
      <c r="K13" s="49"/>
      <c r="L13" s="50"/>
      <c r="M13" s="44"/>
      <c r="N13" s="44"/>
      <c r="O13" s="44"/>
      <c r="P13" s="44"/>
      <c r="Q13" s="71"/>
      <c r="R13" s="66"/>
      <c r="S13" s="70"/>
      <c r="T13" s="73"/>
      <c r="U13" s="72"/>
      <c r="V13" s="62"/>
      <c r="W13" s="61"/>
      <c r="X13" s="55"/>
      <c r="Y13" s="13" t="s">
        <v>19</v>
      </c>
      <c r="Z13" s="14">
        <f t="shared" ca="1" si="23"/>
        <v>0</v>
      </c>
      <c r="AA13" s="14">
        <f ca="1">COUNTIF(R1,"Ocak")*(AV29)*-1
+COUNTIF(R1,"Şubat")*(AV30)*-1
+COUNTIF(R1,"Mart")*(AV31)*-1
+COUNTIF(R1,"Nisan")*(AV32)*-1
+COUNTIF(R1,"Mayıs")*(AV33)*-1
+COUNTIF(R1,"Haziran")*(AV34)*-1
+COUNTIF(R1,"Temmuz")*(AV35)*-1
+COUNTIF(R1,"Ağustos")*(AV36)*-1
+COUNTIF(R1,"Eylül")*(AV37)*-1
+COUNTIF(R1,"Ekim")*(AV38)*-1
+COUNTIF(R1,"Kasım")*(AV39)*-1
+COUNTIF(R1,"Aralık")*(AV40)*-1
+COUNTIF(R1,"Yıllık Toplam")*(AV41)*-1
+COUNTIF(R1,"Yıllık Ortalama")*(AV42)*-1</f>
        <v>0</v>
      </c>
      <c r="AB13" s="16">
        <f>(23.65%)</f>
        <v>0.23649999999999999</v>
      </c>
      <c r="AC13" s="13" t="s">
        <v>0</v>
      </c>
      <c r="AD13" s="14">
        <v>158</v>
      </c>
      <c r="AE13" s="14">
        <v>158</v>
      </c>
      <c r="AF13" s="14">
        <f>(AF1+AF2+AF3+AF4+AF5+AF6+AF7+AF8+AF9+AF10+AF11+AF12)</f>
        <v>93600</v>
      </c>
      <c r="AG13" s="14">
        <f ca="1">(AG1+AG2+AG3+AG4+AG5+AG6+AG7+AG8+AG9+AG10+AG11+AG12)</f>
        <v>86954.39999999998</v>
      </c>
      <c r="AH13" s="14">
        <f t="shared" ref="AH13:AT13" si="25">(AH1+AH2+AH3+AH4+AH5+AH6+AH7+AH8+AH9+AH10+AH11+AH12)</f>
        <v>93600</v>
      </c>
      <c r="AI13" s="14">
        <f t="shared" ref="AI13" si="26">(AI1+AI2+AI3+AI4+AI5+AI6+AI7+AI8+AI9+AI10+AI11+AI12)</f>
        <v>93600</v>
      </c>
      <c r="AJ13" s="14">
        <f t="shared" si="25"/>
        <v>0</v>
      </c>
      <c r="AK13" s="14">
        <f t="shared" si="25"/>
        <v>0</v>
      </c>
      <c r="AL13" s="14">
        <f t="shared" ref="AL13" si="27">(AL1+AL2+AL3+AL4+AL5+AL6+AL7+AL8+AL9+AL10+AL11+AL12)</f>
        <v>93600</v>
      </c>
      <c r="AM13" s="14">
        <f t="shared" si="25"/>
        <v>49296</v>
      </c>
      <c r="AN13" s="14">
        <f t="shared" si="25"/>
        <v>44304</v>
      </c>
      <c r="AO13" s="14">
        <f t="shared" si="25"/>
        <v>-6202.56</v>
      </c>
      <c r="AP13" s="14">
        <f t="shared" si="25"/>
        <v>-443.04000000000013</v>
      </c>
      <c r="AQ13" s="14">
        <f t="shared" ref="AQ13" si="28">(AQ1+AQ2+AQ3+AQ4+AQ5+AQ6+AQ7+AQ8+AQ9+AQ10+AQ11+AQ12)</f>
        <v>86954.39999999998</v>
      </c>
      <c r="AR13" s="14">
        <f t="shared" si="25"/>
        <v>86954.39999999998</v>
      </c>
      <c r="AS13" s="14">
        <f t="shared" si="25"/>
        <v>0</v>
      </c>
      <c r="AT13" s="14">
        <f t="shared" ca="1" si="25"/>
        <v>0</v>
      </c>
      <c r="AU13" s="15">
        <f>(AU1+AU2+AU3+AU4+AU5+AU6+AU7+AU8+AU9+AU10+AU11+AU12)</f>
        <v>360</v>
      </c>
      <c r="AV13" s="14">
        <f t="shared" ref="AV13:AW13" ca="1" si="29">(AV1+AV2+AV3+AV4+AV5+AV6+AV7+AV8+AV9+AV10+AV11+AV12)</f>
        <v>60154.672131558342</v>
      </c>
      <c r="AW13" s="14">
        <f t="shared" si="29"/>
        <v>38751</v>
      </c>
      <c r="AX13" s="15">
        <f>(AX1+AX2+AX3+AX4+AX5+AX6+AX7+AX8+AX9+AX10+AX11+AX12)</f>
        <v>60</v>
      </c>
      <c r="BB13" s="13">
        <v>11</v>
      </c>
      <c r="BC13" s="17">
        <v>5.5</v>
      </c>
      <c r="BD13" s="18">
        <v>0.13</v>
      </c>
      <c r="BE13" s="58"/>
    </row>
    <row r="14" spans="1:57" ht="39.950000000000003" customHeight="1" x14ac:dyDescent="0.25">
      <c r="A14" s="82"/>
      <c r="B14" s="81"/>
      <c r="C14" s="78"/>
      <c r="D14" s="44"/>
      <c r="E14" s="44"/>
      <c r="F14" s="44"/>
      <c r="G14" s="60"/>
      <c r="H14" s="44"/>
      <c r="I14" s="44"/>
      <c r="J14" s="51"/>
      <c r="K14" s="52"/>
      <c r="L14" s="53"/>
      <c r="M14" s="44"/>
      <c r="N14" s="44"/>
      <c r="O14" s="44"/>
      <c r="P14" s="44"/>
      <c r="Q14" s="71"/>
      <c r="R14" s="66"/>
      <c r="S14" s="70"/>
      <c r="T14" s="73"/>
      <c r="U14" s="72"/>
      <c r="V14" s="62"/>
      <c r="W14" s="61"/>
      <c r="X14" s="55"/>
      <c r="Y14" s="13" t="s">
        <v>20</v>
      </c>
      <c r="Z14" s="14">
        <f t="shared" ca="1" si="23"/>
        <v>544.53561998859516</v>
      </c>
      <c r="AA14" s="14">
        <f ca="1">COUNTIF(R1,"Ocak")*(AG59)*-1
+COUNTIF(R1,"Şubat")*(AG60)*-1
+COUNTIF(R1,"Mart")*(AG61)*-1
+COUNTIF(R1,"Nisan")*(AG62)*-1
+COUNTIF(R1,"Mayıs")*(AG63)*-1
+COUNTIF(R1,"Haziran")*(AG64)*-1
+COUNTIF(R1,"Temmuz")*(AG65)*-1
+COUNTIF(R1,"Ağustos")*(AG66)*-1
+COUNTIF(R1,"Eylül")*(AG67)*-1
+COUNTIF(R1,"Ekim")*(AG68)*-1
+COUNTIF(R1,"Kasım")*(AG69)*-1
+COUNTIF(R1,"Aralık")*(AG70)*-1
+COUNTIF(R1,"Yıllık Toplam")*(AG71)*-1
+COUNTIF(R1,"Yıllık Ortalama")*(AG72)*-1</f>
        <v>544.53561998859516</v>
      </c>
      <c r="AB14" s="14" t="s">
        <v>0</v>
      </c>
      <c r="AC14" s="13" t="s">
        <v>0</v>
      </c>
      <c r="AD14" s="14">
        <v>300</v>
      </c>
      <c r="AE14" s="14">
        <v>300</v>
      </c>
      <c r="AF14" s="14">
        <f>(AF13/12)</f>
        <v>7800</v>
      </c>
      <c r="AG14" s="14">
        <f ca="1">(AG13/12)</f>
        <v>7246.199999999998</v>
      </c>
      <c r="AH14" s="14">
        <f t="shared" ref="AH14:AT14" si="30">(AH13/12)</f>
        <v>7800</v>
      </c>
      <c r="AI14" s="14">
        <f t="shared" ref="AI14" si="31">(AI13/12)</f>
        <v>7800</v>
      </c>
      <c r="AJ14" s="14">
        <f t="shared" si="30"/>
        <v>0</v>
      </c>
      <c r="AK14" s="14">
        <f t="shared" si="30"/>
        <v>0</v>
      </c>
      <c r="AL14" s="14">
        <f t="shared" ref="AL14" si="32">(AL13/12)</f>
        <v>7800</v>
      </c>
      <c r="AM14" s="14">
        <f t="shared" si="30"/>
        <v>4108</v>
      </c>
      <c r="AN14" s="14">
        <f t="shared" si="30"/>
        <v>3692</v>
      </c>
      <c r="AO14" s="14">
        <f t="shared" si="30"/>
        <v>-516.88</v>
      </c>
      <c r="AP14" s="14">
        <f t="shared" si="30"/>
        <v>-36.920000000000009</v>
      </c>
      <c r="AQ14" s="14">
        <f t="shared" ref="AQ14" si="33">(AQ13/12)</f>
        <v>7246.199999999998</v>
      </c>
      <c r="AR14" s="14">
        <f t="shared" si="30"/>
        <v>7246.199999999998</v>
      </c>
      <c r="AS14" s="14">
        <f t="shared" si="30"/>
        <v>0</v>
      </c>
      <c r="AT14" s="14">
        <f t="shared" ca="1" si="30"/>
        <v>0</v>
      </c>
      <c r="AU14" s="19" t="s">
        <v>0</v>
      </c>
      <c r="AV14" s="14">
        <f t="shared" ref="AV14:AW14" ca="1" si="34">(AV13/12)</f>
        <v>5012.8893442965282</v>
      </c>
      <c r="AW14" s="14">
        <f t="shared" si="34"/>
        <v>3229.25</v>
      </c>
      <c r="AX14" s="19" t="s">
        <v>0</v>
      </c>
      <c r="BB14" s="13">
        <v>12</v>
      </c>
      <c r="BC14" s="17">
        <v>6</v>
      </c>
      <c r="BD14" s="18">
        <v>0.14000000000000001</v>
      </c>
      <c r="BE14" s="58"/>
    </row>
    <row r="15" spans="1:57" ht="39.950000000000003" customHeight="1" x14ac:dyDescent="0.25">
      <c r="A15" s="4">
        <f t="shared" ref="A15:A26" ca="1" si="35">(AS59)</f>
        <v>0.15</v>
      </c>
      <c r="B15" s="74" t="s">
        <v>78</v>
      </c>
      <c r="C15" s="75"/>
      <c r="D15" s="39">
        <v>0</v>
      </c>
      <c r="E15" s="40">
        <v>0</v>
      </c>
      <c r="F15" s="40">
        <v>0</v>
      </c>
      <c r="G15" s="40">
        <v>0</v>
      </c>
      <c r="H15" s="40">
        <v>0</v>
      </c>
      <c r="I15" s="41">
        <v>26</v>
      </c>
      <c r="J15" s="42" t="s">
        <v>1</v>
      </c>
      <c r="K15" s="42" t="s">
        <v>1</v>
      </c>
      <c r="L15" s="42" t="s">
        <v>1</v>
      </c>
      <c r="M15" s="43">
        <v>0</v>
      </c>
      <c r="N15" s="43" t="s">
        <v>1</v>
      </c>
      <c r="O15" s="5">
        <f t="shared" ref="O15:O26" ca="1" si="36">(AD59+AR29+AT29+AG59+AK59+AL59+AU59-P15)</f>
        <v>57654.642690835739</v>
      </c>
      <c r="P15" s="5">
        <f t="shared" ref="P15:P26" ca="1" si="37">(AT15+AV15+AX15+AG29+AG1+AU29)</f>
        <v>7246.2</v>
      </c>
      <c r="Q15" s="6">
        <f ca="1">(O15+P15)</f>
        <v>64900.842690835736</v>
      </c>
      <c r="R15" s="66"/>
      <c r="S15" s="70"/>
      <c r="T15" s="73"/>
      <c r="U15" s="72"/>
      <c r="V15" s="62"/>
      <c r="W15" s="61"/>
      <c r="X15" s="55"/>
      <c r="Y15" s="13" t="s">
        <v>4</v>
      </c>
      <c r="Z15" s="14">
        <f t="shared" ca="1" si="23"/>
        <v>15185.21528305709</v>
      </c>
      <c r="AA15" s="14">
        <f ca="1">COUNTIF(R1,"Ocak")*(AK59)*-1
+COUNTIF(R1,"Şubat")*(AK60)*-1
+COUNTIF(R1,"Mart")*(AK61)*-1
+COUNTIF(R1,"Nisan")*(AK62)*-1
+COUNTIF(R1,"Mayıs")*(AK63)*-1
+COUNTIF(R1,"Haziran")*(AK64)*-1
+COUNTIF(R1,"Temmuz")*(AK65)*-1
+COUNTIF(R1,"Ağustos")*(AK66)*-1
+COUNTIF(R1,"Eylül")*(AK67)*-1
+COUNTIF(R1,"Ekim")*(AK68)*-1
+COUNTIF(R1,"Kasım")*(AK69)*-1
+COUNTIF(R1,"Aralık")*(AK70)*-1
+COUNTIF(R1,"Yıllık Toplam")*(AK71)*-1
+COUNTIF(R1,"Yıllık Ortalama")*(AK72)*-1</f>
        <v>15185.21528305709</v>
      </c>
      <c r="AF15" s="20">
        <v>46023</v>
      </c>
      <c r="AG15" s="21">
        <f t="shared" ref="AG15:AG26" si="38">EOMONTH(AF15,0)</f>
        <v>46053</v>
      </c>
      <c r="AH15" s="22">
        <f>(DAY(AG15))</f>
        <v>31</v>
      </c>
      <c r="AI15" s="22">
        <f>NETWORKDAYS.INTL(AF15,AG15,11)</f>
        <v>27</v>
      </c>
      <c r="AJ15" s="22">
        <f>(AH15-AI15)</f>
        <v>4</v>
      </c>
      <c r="AK15" s="14">
        <v>2152.52</v>
      </c>
      <c r="AL15" s="14">
        <f t="shared" ref="AL15:AL26" ca="1" si="39">(AK15*AX59)</f>
        <v>1538.8580732</v>
      </c>
      <c r="AM15" s="14">
        <v>2152.52</v>
      </c>
      <c r="AN15" s="14">
        <f t="shared" ref="AN15:AN26" ca="1" si="40">(AM15*AX59+AG44/30+AX44/30)</f>
        <v>1687.5923298666669</v>
      </c>
      <c r="AO15" s="23">
        <f t="shared" ref="AO15:AO26" si="41">(AK15*AH15)</f>
        <v>66728.12</v>
      </c>
      <c r="AP15" s="14">
        <f t="shared" ref="AP15:AP26" ca="1" si="42">(AO15*AX59)</f>
        <v>47704.600269199997</v>
      </c>
      <c r="AQ15" s="14">
        <f t="shared" ref="AQ15:AQ26" si="43">(15*D15)</f>
        <v>0</v>
      </c>
      <c r="AR15" s="14">
        <f t="shared" ref="AR15:AR26" ca="1" si="44">(AQ15*AX59)</f>
        <v>0</v>
      </c>
      <c r="AS15" s="14">
        <f t="shared" ref="AS15:AS26" si="45">(AK15/7.5*1.6*E15)</f>
        <v>0</v>
      </c>
      <c r="AT15" s="14">
        <f t="shared" ref="AT15:AT26" ca="1" si="46">(AS15*AX59)</f>
        <v>0</v>
      </c>
      <c r="AU15" s="14">
        <f t="shared" ref="AU15:AU26" si="47">(AK15/7.5*1.3*F15)</f>
        <v>0</v>
      </c>
      <c r="AV15" s="14">
        <f t="shared" ref="AV15:AV26" ca="1" si="48">(AU15*AX59)</f>
        <v>0</v>
      </c>
      <c r="AW15" s="14">
        <f t="shared" ref="AW15:AW26" si="49">(AK15/7.5*2*G15)</f>
        <v>0</v>
      </c>
      <c r="AX15" s="14">
        <f t="shared" ref="AX15:AX26" ca="1" si="50">(AW15*AX59)</f>
        <v>0</v>
      </c>
      <c r="BB15" s="13">
        <v>13</v>
      </c>
      <c r="BC15" s="17">
        <v>6.5</v>
      </c>
      <c r="BD15" s="18">
        <v>0.15</v>
      </c>
      <c r="BE15" s="58"/>
    </row>
    <row r="16" spans="1:57" ht="39.950000000000003" customHeight="1" x14ac:dyDescent="0.25">
      <c r="A16" s="4">
        <f t="shared" ca="1" si="35"/>
        <v>0.15</v>
      </c>
      <c r="B16" s="74" t="s">
        <v>79</v>
      </c>
      <c r="C16" s="75"/>
      <c r="D16" s="39">
        <v>0</v>
      </c>
      <c r="E16" s="40">
        <v>0</v>
      </c>
      <c r="F16" s="40">
        <v>0</v>
      </c>
      <c r="G16" s="40">
        <v>0</v>
      </c>
      <c r="H16" s="40">
        <v>0</v>
      </c>
      <c r="I16" s="41">
        <v>26</v>
      </c>
      <c r="J16" s="42" t="s">
        <v>26</v>
      </c>
      <c r="K16" s="42" t="s">
        <v>1</v>
      </c>
      <c r="L16" s="42" t="s">
        <v>1</v>
      </c>
      <c r="M16" s="43">
        <v>0</v>
      </c>
      <c r="N16" s="43" t="s">
        <v>1</v>
      </c>
      <c r="O16" s="5">
        <f t="shared" ca="1" si="36"/>
        <v>56381.063988574992</v>
      </c>
      <c r="P16" s="5">
        <f t="shared" ca="1" si="37"/>
        <v>7246.2</v>
      </c>
      <c r="Q16" s="6">
        <f t="shared" ref="Q16:Q26" ca="1" si="51">(O16+P16)</f>
        <v>63627.263988574989</v>
      </c>
      <c r="R16" s="66"/>
      <c r="S16" s="70"/>
      <c r="T16" s="73"/>
      <c r="U16" s="72"/>
      <c r="V16" s="62"/>
      <c r="W16" s="61"/>
      <c r="X16" s="55"/>
      <c r="Y16" s="13" t="s">
        <v>5</v>
      </c>
      <c r="Z16" s="14">
        <f t="shared" ca="1" si="23"/>
        <v>1084.6582345040779</v>
      </c>
      <c r="AA16" s="14">
        <f ca="1">COUNTIF(R1,"Ocak")*(AL59)*-1
+COUNTIF(R1,"Şubat")*(AL60)*-1
+COUNTIF(R1,"Mart")*(AL61)*-1
+COUNTIF(R1,"Nisan")*(AL62)*-1
+COUNTIF(R1,"Mayıs")*(AL63)*-1
+COUNTIF(R1,"Haziran")*(AL64)*-1
+COUNTIF(R1,"Temmuz")*(AL65)*-1
+COUNTIF(R1,"Ağustos")*(AL66)*-1
+COUNTIF(R1,"Eylül")*(AL67)*-1
+COUNTIF(R1,"Ekim")*(AL68)*-1
+COUNTIF(R1,"Kasım")*(AL69)*-1
+COUNTIF(R1,"Aralık")*(AL70)*-1
+COUNTIF(R1,"Yıllık Toplam")*(AL71)*-1
+COUNTIF(R1,"Yıllık Ortalama")*(AL72)*-1</f>
        <v>1084.6582345040779</v>
      </c>
      <c r="AB16" s="24">
        <f>(2273)</f>
        <v>2273</v>
      </c>
      <c r="AC16" s="13" t="s">
        <v>0</v>
      </c>
      <c r="AD16" s="14">
        <f>($AB$29*$AB$16)</f>
        <v>3154.6307830000001</v>
      </c>
      <c r="AE16" s="14">
        <f>($AC$29*$AB$16)</f>
        <v>3154.6307830000001</v>
      </c>
      <c r="AF16" s="21">
        <f>(AG15+1)</f>
        <v>46054</v>
      </c>
      <c r="AG16" s="21">
        <f t="shared" si="38"/>
        <v>46081</v>
      </c>
      <c r="AH16" s="22">
        <f t="shared" ref="AH16:AH26" si="52">(DAY(AG16))</f>
        <v>28</v>
      </c>
      <c r="AI16" s="22">
        <f t="shared" ref="AI16:AI26" si="53">NETWORKDAYS.INTL(AF16,AG16,11)</f>
        <v>24</v>
      </c>
      <c r="AJ16" s="22">
        <f t="shared" ref="AJ16:AJ26" si="54">(AH16-AI16)</f>
        <v>4</v>
      </c>
      <c r="AK16" s="14">
        <v>2152.52</v>
      </c>
      <c r="AL16" s="14">
        <f t="shared" ca="1" si="39"/>
        <v>1538.8580732</v>
      </c>
      <c r="AM16" s="14">
        <v>2152.52</v>
      </c>
      <c r="AN16" s="14">
        <f t="shared" ca="1" si="40"/>
        <v>1687.5923298666669</v>
      </c>
      <c r="AO16" s="23">
        <f t="shared" si="41"/>
        <v>60270.559999999998</v>
      </c>
      <c r="AP16" s="14">
        <f t="shared" ca="1" si="42"/>
        <v>43088.026049600005</v>
      </c>
      <c r="AQ16" s="14">
        <f t="shared" si="43"/>
        <v>0</v>
      </c>
      <c r="AR16" s="14">
        <f t="shared" ca="1" si="44"/>
        <v>0</v>
      </c>
      <c r="AS16" s="14">
        <f t="shared" si="45"/>
        <v>0</v>
      </c>
      <c r="AT16" s="14">
        <f t="shared" ca="1" si="46"/>
        <v>0</v>
      </c>
      <c r="AU16" s="14">
        <f t="shared" si="47"/>
        <v>0</v>
      </c>
      <c r="AV16" s="14">
        <f t="shared" ca="1" si="48"/>
        <v>0</v>
      </c>
      <c r="AW16" s="14">
        <f t="shared" si="49"/>
        <v>0</v>
      </c>
      <c r="AX16" s="14">
        <f t="shared" ca="1" si="50"/>
        <v>0</v>
      </c>
      <c r="BB16" s="13">
        <v>14</v>
      </c>
      <c r="BC16" s="17">
        <v>7</v>
      </c>
      <c r="BD16" s="18">
        <v>0.16</v>
      </c>
      <c r="BE16" s="58"/>
    </row>
    <row r="17" spans="1:57" ht="39.950000000000003" customHeight="1" x14ac:dyDescent="0.25">
      <c r="A17" s="4">
        <f t="shared" ca="1" si="35"/>
        <v>0.16875559737693199</v>
      </c>
      <c r="B17" s="74" t="s">
        <v>80</v>
      </c>
      <c r="C17" s="75"/>
      <c r="D17" s="39">
        <v>0</v>
      </c>
      <c r="E17" s="40">
        <v>0</v>
      </c>
      <c r="F17" s="40">
        <v>0</v>
      </c>
      <c r="G17" s="40">
        <v>0</v>
      </c>
      <c r="H17" s="40">
        <v>0</v>
      </c>
      <c r="I17" s="41">
        <v>26</v>
      </c>
      <c r="J17" s="42" t="s">
        <v>1</v>
      </c>
      <c r="K17" s="42" t="s">
        <v>1</v>
      </c>
      <c r="L17" s="42" t="s">
        <v>1</v>
      </c>
      <c r="M17" s="43">
        <v>0</v>
      </c>
      <c r="N17" s="43" t="s">
        <v>1</v>
      </c>
      <c r="O17" s="5">
        <f t="shared" ca="1" si="36"/>
        <v>89958.210975733673</v>
      </c>
      <c r="P17" s="5">
        <f t="shared" ca="1" si="37"/>
        <v>7246.2</v>
      </c>
      <c r="Q17" s="6">
        <f t="shared" ca="1" si="51"/>
        <v>97204.41097573367</v>
      </c>
      <c r="R17" s="66"/>
      <c r="S17" s="70"/>
      <c r="T17" s="73"/>
      <c r="U17" s="72"/>
      <c r="V17" s="62"/>
      <c r="W17" s="61"/>
      <c r="X17" s="55"/>
      <c r="Y17" s="13" t="s">
        <v>21</v>
      </c>
      <c r="Z17" s="14">
        <f t="shared" ca="1" si="23"/>
        <v>15463.432500000001</v>
      </c>
      <c r="AA17" s="14">
        <f ca="1">COUNTIF(R1,"Ocak")*(AU59)*-1
+COUNTIF(R1,"Şubat")*(AU60)*-1
+COUNTIF(R1,"Mart")*(AU61)*-1
+COUNTIF(R1,"Nisan")*(AU62)*-1
+COUNTIF(R1,"Mayıs")*(AU63)*-1
+COUNTIF(R1,"Haziran")*(AU64)*-1
+COUNTIF(R1,"Temmuz")*(AU65)*-1
+COUNTIF(R1,"Ağustos")*(AU66)*-1
+COUNTIF(R1,"Eylül")*(AU67)*-1
+COUNTIF(R1,"Ekim")*(AU68)*-1
+COUNTIF(R1,"Kasım")*(AU69)*-1
+COUNTIF(R1,"Aralık")*(AU70)*-1
+COUNTIF(R1,"Yıllık Toplam")*(AU71)*-1
+COUNTIF(R1,"Yıllık Ortalama")*(AU72)*-1</f>
        <v>15463.432500000001</v>
      </c>
      <c r="AB17" s="24">
        <f>(250)</f>
        <v>250</v>
      </c>
      <c r="AC17" s="13" t="s">
        <v>0</v>
      </c>
      <c r="AD17" s="14">
        <f>($AB$29*$AB$17*2)</f>
        <v>693.93550000000005</v>
      </c>
      <c r="AE17" s="14">
        <f>($AC$29*$AB$17*2)</f>
        <v>693.93550000000005</v>
      </c>
      <c r="AF17" s="21">
        <f t="shared" ref="AF17:AF26" si="55">(AG16+1)</f>
        <v>46082</v>
      </c>
      <c r="AG17" s="21">
        <f t="shared" si="38"/>
        <v>46112</v>
      </c>
      <c r="AH17" s="22">
        <f t="shared" si="52"/>
        <v>31</v>
      </c>
      <c r="AI17" s="22">
        <f t="shared" si="53"/>
        <v>26</v>
      </c>
      <c r="AJ17" s="22">
        <f t="shared" si="54"/>
        <v>5</v>
      </c>
      <c r="AK17" s="14">
        <v>2546.2199999999998</v>
      </c>
      <c r="AL17" s="14">
        <f t="shared" ca="1" si="39"/>
        <v>1779.7256446198721</v>
      </c>
      <c r="AM17" s="14">
        <v>2546.2199999999998</v>
      </c>
      <c r="AN17" s="14">
        <f t="shared" ca="1" si="40"/>
        <v>1928.459901286539</v>
      </c>
      <c r="AO17" s="23">
        <f t="shared" si="41"/>
        <v>78932.819999999992</v>
      </c>
      <c r="AP17" s="14">
        <f t="shared" ca="1" si="42"/>
        <v>55171.494983216035</v>
      </c>
      <c r="AQ17" s="14">
        <f t="shared" si="43"/>
        <v>0</v>
      </c>
      <c r="AR17" s="14">
        <f t="shared" ca="1" si="44"/>
        <v>0</v>
      </c>
      <c r="AS17" s="14">
        <f t="shared" si="45"/>
        <v>0</v>
      </c>
      <c r="AT17" s="14">
        <f t="shared" ca="1" si="46"/>
        <v>0</v>
      </c>
      <c r="AU17" s="14">
        <f t="shared" si="47"/>
        <v>0</v>
      </c>
      <c r="AV17" s="14">
        <f t="shared" ca="1" si="48"/>
        <v>0</v>
      </c>
      <c r="AW17" s="14">
        <f t="shared" si="49"/>
        <v>0</v>
      </c>
      <c r="AX17" s="14">
        <f t="shared" ca="1" si="50"/>
        <v>0</v>
      </c>
      <c r="BB17" s="13">
        <v>15</v>
      </c>
      <c r="BC17" s="17">
        <v>7.5</v>
      </c>
      <c r="BD17" s="18">
        <v>0.17</v>
      </c>
      <c r="BE17" s="58"/>
    </row>
    <row r="18" spans="1:57" ht="39.950000000000003" customHeight="1" x14ac:dyDescent="0.25">
      <c r="A18" s="4">
        <f t="shared" ca="1" si="35"/>
        <v>0.2</v>
      </c>
      <c r="B18" s="74" t="s">
        <v>81</v>
      </c>
      <c r="C18" s="75"/>
      <c r="D18" s="39">
        <v>0</v>
      </c>
      <c r="E18" s="40">
        <v>0</v>
      </c>
      <c r="F18" s="40">
        <v>0</v>
      </c>
      <c r="G18" s="40">
        <v>0</v>
      </c>
      <c r="H18" s="40">
        <v>0</v>
      </c>
      <c r="I18" s="41">
        <v>26</v>
      </c>
      <c r="J18" s="42" t="s">
        <v>1</v>
      </c>
      <c r="K18" s="42" t="s">
        <v>1</v>
      </c>
      <c r="L18" s="42" t="s">
        <v>1</v>
      </c>
      <c r="M18" s="43">
        <v>0</v>
      </c>
      <c r="N18" s="43" t="s">
        <v>1</v>
      </c>
      <c r="O18" s="5">
        <f t="shared" ca="1" si="36"/>
        <v>62087.880836307348</v>
      </c>
      <c r="P18" s="5">
        <f t="shared" ca="1" si="37"/>
        <v>7246.2</v>
      </c>
      <c r="Q18" s="6">
        <f t="shared" ca="1" si="51"/>
        <v>69334.080836307345</v>
      </c>
      <c r="R18" s="66"/>
      <c r="S18" s="70"/>
      <c r="T18" s="73"/>
      <c r="U18" s="72"/>
      <c r="V18" s="62"/>
      <c r="W18" s="61"/>
      <c r="X18" s="55"/>
      <c r="Y18" s="13" t="s">
        <v>59</v>
      </c>
      <c r="Z18" s="14">
        <f t="shared" ca="1" si="23"/>
        <v>131148.50431972506</v>
      </c>
      <c r="AA18" s="14">
        <f ca="1">COUNTIF(R1,"Ocak")*(AH73)
+COUNTIF(R1,"Şubat")*(AH74)
+COUNTIF(R1,"Mart")*(AH75)
+COUNTIF(R1,"Nisan")*(AH76)
+COUNTIF(R1,"Mayıs")*(AH77)
+COUNTIF(R1,"Haziran")*(AH78)
+COUNTIF(R1,"Temmuz")*(AH79)
+COUNTIF(R1,"Ağustos")*(AH80)
+COUNTIF(R1,"Eylül")*(AH81)
+COUNTIF(R1,"Ekim")*(AH82)
+COUNTIF(R1,"Kasım")*(AH83)
+COUNTIF(R1,"Aralık")*(AH84)
+COUNTIF(R1,"Yıllık Toplam")*(AH85)
+COUNTIF(R1,"Yıllık Ortalama")*(AH86)</f>
        <v>131148.50431972506</v>
      </c>
      <c r="AB18" s="24">
        <f>(AB17)</f>
        <v>250</v>
      </c>
      <c r="AC18" s="13" t="s">
        <v>0</v>
      </c>
      <c r="AD18" s="14">
        <f>($AB$29*$AB$18)</f>
        <v>346.96775000000002</v>
      </c>
      <c r="AE18" s="14">
        <f>($AC$29*$AB$18)</f>
        <v>346.96775000000002</v>
      </c>
      <c r="AF18" s="21">
        <f t="shared" si="55"/>
        <v>46113</v>
      </c>
      <c r="AG18" s="21">
        <f t="shared" si="38"/>
        <v>46142</v>
      </c>
      <c r="AH18" s="22">
        <f t="shared" si="52"/>
        <v>30</v>
      </c>
      <c r="AI18" s="22">
        <f t="shared" si="53"/>
        <v>26</v>
      </c>
      <c r="AJ18" s="22">
        <f t="shared" si="54"/>
        <v>4</v>
      </c>
      <c r="AK18" s="14">
        <v>2546.2199999999998</v>
      </c>
      <c r="AL18" s="14">
        <f t="shared" ca="1" si="39"/>
        <v>1712.1037901999998</v>
      </c>
      <c r="AM18" s="14">
        <v>2546.2199999999998</v>
      </c>
      <c r="AN18" s="14">
        <f t="shared" ca="1" si="40"/>
        <v>1860.8380468666667</v>
      </c>
      <c r="AO18" s="23">
        <f t="shared" si="41"/>
        <v>76386.599999999991</v>
      </c>
      <c r="AP18" s="14">
        <f t="shared" ca="1" si="42"/>
        <v>51363.113705999989</v>
      </c>
      <c r="AQ18" s="14">
        <f t="shared" si="43"/>
        <v>0</v>
      </c>
      <c r="AR18" s="14">
        <f t="shared" ca="1" si="44"/>
        <v>0</v>
      </c>
      <c r="AS18" s="14">
        <f t="shared" si="45"/>
        <v>0</v>
      </c>
      <c r="AT18" s="14">
        <f t="shared" ca="1" si="46"/>
        <v>0</v>
      </c>
      <c r="AU18" s="14">
        <f t="shared" si="47"/>
        <v>0</v>
      </c>
      <c r="AV18" s="14">
        <f t="shared" ca="1" si="48"/>
        <v>0</v>
      </c>
      <c r="AW18" s="14">
        <f t="shared" si="49"/>
        <v>0</v>
      </c>
      <c r="AX18" s="14">
        <f t="shared" ca="1" si="50"/>
        <v>0</v>
      </c>
      <c r="BB18" s="13">
        <v>16</v>
      </c>
      <c r="BC18" s="17">
        <v>8</v>
      </c>
      <c r="BD18" s="18">
        <v>0.18</v>
      </c>
      <c r="BE18" s="58"/>
    </row>
    <row r="19" spans="1:57" ht="39.950000000000003" customHeight="1" x14ac:dyDescent="0.25">
      <c r="A19" s="4">
        <f t="shared" ca="1" si="35"/>
        <v>0.2</v>
      </c>
      <c r="B19" s="74" t="s">
        <v>82</v>
      </c>
      <c r="C19" s="75"/>
      <c r="D19" s="39">
        <v>0</v>
      </c>
      <c r="E19" s="40">
        <v>0</v>
      </c>
      <c r="F19" s="40">
        <v>0</v>
      </c>
      <c r="G19" s="40">
        <v>0</v>
      </c>
      <c r="H19" s="40">
        <v>0</v>
      </c>
      <c r="I19" s="41">
        <v>26</v>
      </c>
      <c r="J19" s="42" t="s">
        <v>1</v>
      </c>
      <c r="K19" s="42" t="s">
        <v>1</v>
      </c>
      <c r="L19" s="42" t="s">
        <v>1</v>
      </c>
      <c r="M19" s="43">
        <v>0</v>
      </c>
      <c r="N19" s="43" t="s">
        <v>1</v>
      </c>
      <c r="O19" s="5">
        <f t="shared" ca="1" si="36"/>
        <v>63799.982026507336</v>
      </c>
      <c r="P19" s="5">
        <f t="shared" ca="1" si="37"/>
        <v>7246.2</v>
      </c>
      <c r="Q19" s="6">
        <f t="shared" ca="1" si="51"/>
        <v>71046.182026507333</v>
      </c>
      <c r="R19" s="66"/>
      <c r="S19" s="70"/>
      <c r="T19" s="73"/>
      <c r="U19" s="72"/>
      <c r="V19" s="62"/>
      <c r="W19" s="61"/>
      <c r="X19" s="55"/>
      <c r="Y19" s="25" t="s">
        <v>30</v>
      </c>
      <c r="Z19" s="14">
        <f t="shared" ca="1" si="23"/>
        <v>77948.85981285802</v>
      </c>
      <c r="AA19" s="14">
        <f ca="1">COUNTIF(R1,"Ocak")*Q15
+COUNTIF(R1,"Şubat")*Q16
+COUNTIF(R1,"Mart")*Q17
+COUNTIF(R1,"Nisan")*Q18
+COUNTIF(R1,"Mayıs")*Q19
+COUNTIF(R1,"Haziran")*Q20
+COUNTIF(R1,"Temmuz")*Q21
+COUNTIF(R1,"Ağustos")*Q22
+COUNTIF(R1,"Eylül")*Q23
+COUNTIF(R1,"Ekim")*Q24
+COUNTIF(R1,"Kasım")*Q25
+COUNTIF(R1,"Aralık")*Q26
+COUNTIF(R1,"Yıllık Toplam")*(Q27)*-1
+COUNTIF(R1,"Yıllık Ortalama")*(Q28)*-1</f>
        <v>-77948.85981285802</v>
      </c>
      <c r="AB19" s="25">
        <f>(1.5)</f>
        <v>1.5</v>
      </c>
      <c r="AC19" s="13" t="s">
        <v>0</v>
      </c>
      <c r="AD19" s="14">
        <f>($AD$17*$AB$19)</f>
        <v>1040.9032500000001</v>
      </c>
      <c r="AE19" s="14">
        <f>($AE$17*$AB$19)</f>
        <v>1040.9032500000001</v>
      </c>
      <c r="AF19" s="21">
        <f t="shared" si="55"/>
        <v>46143</v>
      </c>
      <c r="AG19" s="21">
        <f t="shared" si="38"/>
        <v>46173</v>
      </c>
      <c r="AH19" s="22">
        <f t="shared" si="52"/>
        <v>31</v>
      </c>
      <c r="AI19" s="22">
        <f t="shared" si="53"/>
        <v>26</v>
      </c>
      <c r="AJ19" s="22">
        <f t="shared" si="54"/>
        <v>5</v>
      </c>
      <c r="AK19" s="14">
        <v>2546.2199999999998</v>
      </c>
      <c r="AL19" s="14">
        <f t="shared" ca="1" si="39"/>
        <v>1712.1037901999998</v>
      </c>
      <c r="AM19" s="14">
        <v>2546.2199999999998</v>
      </c>
      <c r="AN19" s="14">
        <f t="shared" ca="1" si="40"/>
        <v>1860.8380468666667</v>
      </c>
      <c r="AO19" s="23">
        <f t="shared" si="41"/>
        <v>78932.819999999992</v>
      </c>
      <c r="AP19" s="14">
        <f t="shared" ca="1" si="42"/>
        <v>53075.217496199992</v>
      </c>
      <c r="AQ19" s="14">
        <f t="shared" si="43"/>
        <v>0</v>
      </c>
      <c r="AR19" s="14">
        <f t="shared" ca="1" si="44"/>
        <v>0</v>
      </c>
      <c r="AS19" s="14">
        <f t="shared" si="45"/>
        <v>0</v>
      </c>
      <c r="AT19" s="14">
        <f t="shared" ca="1" si="46"/>
        <v>0</v>
      </c>
      <c r="AU19" s="14">
        <f t="shared" si="47"/>
        <v>0</v>
      </c>
      <c r="AV19" s="14">
        <f t="shared" ca="1" si="48"/>
        <v>0</v>
      </c>
      <c r="AW19" s="14">
        <f t="shared" si="49"/>
        <v>0</v>
      </c>
      <c r="AX19" s="14">
        <f t="shared" ca="1" si="50"/>
        <v>0</v>
      </c>
      <c r="BB19" s="13">
        <v>17</v>
      </c>
      <c r="BC19" s="17">
        <v>8.5</v>
      </c>
      <c r="BD19" s="18">
        <v>0.19</v>
      </c>
      <c r="BE19" s="58"/>
    </row>
    <row r="20" spans="1:57" ht="39.950000000000003" customHeight="1" x14ac:dyDescent="0.25">
      <c r="A20" s="4">
        <f t="shared" ca="1" si="35"/>
        <v>0.25470505040268193</v>
      </c>
      <c r="B20" s="74" t="s">
        <v>83</v>
      </c>
      <c r="C20" s="75"/>
      <c r="D20" s="39">
        <v>0</v>
      </c>
      <c r="E20" s="40">
        <v>0</v>
      </c>
      <c r="F20" s="40">
        <v>0</v>
      </c>
      <c r="G20" s="40">
        <v>0</v>
      </c>
      <c r="H20" s="40">
        <v>0</v>
      </c>
      <c r="I20" s="41">
        <v>26</v>
      </c>
      <c r="J20" s="42" t="s">
        <v>1</v>
      </c>
      <c r="K20" s="42" t="s">
        <v>1</v>
      </c>
      <c r="L20" s="42" t="s">
        <v>1</v>
      </c>
      <c r="M20" s="43">
        <v>0</v>
      </c>
      <c r="N20" s="43" t="s">
        <v>1</v>
      </c>
      <c r="O20" s="5">
        <f t="shared" ca="1" si="36"/>
        <v>82235.113163903137</v>
      </c>
      <c r="P20" s="5">
        <f t="shared" ca="1" si="37"/>
        <v>7246.2</v>
      </c>
      <c r="Q20" s="6">
        <f t="shared" ca="1" si="51"/>
        <v>89481.313163903134</v>
      </c>
      <c r="R20" s="66"/>
      <c r="S20" s="70"/>
      <c r="T20" s="73"/>
      <c r="U20" s="72"/>
      <c r="V20" s="62"/>
      <c r="W20" s="61"/>
      <c r="X20" s="55"/>
      <c r="Y20" s="25" t="s">
        <v>31</v>
      </c>
      <c r="Z20" s="14">
        <f t="shared" ca="1" si="23"/>
        <v>34624.96363754975</v>
      </c>
      <c r="AA20" s="14">
        <f ca="1">COUNTIF(R1,"Ocak")*(AD59-Q15)
+COUNTIF(R1,"Şubat")*(AD60-Q16)
+COUNTIF(R1,"Mart")*(AD61-Q17)
+COUNTIF(R1,"Nisan")*(AD62-Q18)
+COUNTIF(R1,"Mayıs")*(AD63-Q19)
+COUNTIF(R1,"Haziran")*(AD64-Q20)
+COUNTIF(R1,"Temmuz")*(AD65-Q21)
+COUNTIF(R1,"Ağustos")*(AD66-Q22)
+COUNTIF(R1,"Eylül")*(AD67-Q23)
+COUNTIF(R1,"Ekim")*(AD68-Q24)
+COUNTIF(R1,"Kasım")*(AD69-Q25)
+COUNTIF(R1,"Aralık")*(AD70-Q26)
+COUNTIF(R1,"Yıllık Toplam")*(AD71-Q27)*-1
+COUNTIF(R1,"Yıllık Ortalama")*(AD72-Q28)*-1</f>
        <v>-34624.96363754975</v>
      </c>
      <c r="AB20" s="13" t="s">
        <v>0</v>
      </c>
      <c r="AC20" s="13" t="s">
        <v>0</v>
      </c>
      <c r="AD20" s="14">
        <f>($AD$19/2)</f>
        <v>520.45162500000004</v>
      </c>
      <c r="AE20" s="14">
        <f>($AE$19/2)</f>
        <v>520.45162500000004</v>
      </c>
      <c r="AF20" s="21">
        <f t="shared" si="55"/>
        <v>46174</v>
      </c>
      <c r="AG20" s="21">
        <f t="shared" si="38"/>
        <v>46203</v>
      </c>
      <c r="AH20" s="22">
        <f t="shared" si="52"/>
        <v>30</v>
      </c>
      <c r="AI20" s="22">
        <f t="shared" si="53"/>
        <v>26</v>
      </c>
      <c r="AJ20" s="22">
        <f t="shared" si="54"/>
        <v>4</v>
      </c>
      <c r="AK20" s="14">
        <v>2546.2199999999998</v>
      </c>
      <c r="AL20" s="14">
        <f t="shared" ca="1" si="39"/>
        <v>1593.7063607791306</v>
      </c>
      <c r="AM20" s="14">
        <v>2546.2199999999998</v>
      </c>
      <c r="AN20" s="14">
        <f t="shared" ca="1" si="40"/>
        <v>1742.4406174457974</v>
      </c>
      <c r="AO20" s="23">
        <f t="shared" si="41"/>
        <v>76386.599999999991</v>
      </c>
      <c r="AP20" s="14">
        <f t="shared" ca="1" si="42"/>
        <v>47811.190823373916</v>
      </c>
      <c r="AQ20" s="14">
        <f t="shared" si="43"/>
        <v>0</v>
      </c>
      <c r="AR20" s="14">
        <f t="shared" ca="1" si="44"/>
        <v>0</v>
      </c>
      <c r="AS20" s="14">
        <f t="shared" si="45"/>
        <v>0</v>
      </c>
      <c r="AT20" s="14">
        <f t="shared" ca="1" si="46"/>
        <v>0</v>
      </c>
      <c r="AU20" s="14">
        <f t="shared" si="47"/>
        <v>0</v>
      </c>
      <c r="AV20" s="14">
        <f t="shared" ca="1" si="48"/>
        <v>0</v>
      </c>
      <c r="AW20" s="14">
        <f t="shared" si="49"/>
        <v>0</v>
      </c>
      <c r="AX20" s="14">
        <f t="shared" ca="1" si="50"/>
        <v>0</v>
      </c>
      <c r="BB20" s="13">
        <v>18</v>
      </c>
      <c r="BC20" s="17">
        <v>9</v>
      </c>
      <c r="BD20" s="18">
        <v>0.2</v>
      </c>
      <c r="BE20" s="58"/>
    </row>
    <row r="21" spans="1:57" ht="39.950000000000003" customHeight="1" x14ac:dyDescent="0.25">
      <c r="A21" s="4">
        <f t="shared" ca="1" si="35"/>
        <v>0.27</v>
      </c>
      <c r="B21" s="74" t="s">
        <v>84</v>
      </c>
      <c r="C21" s="75"/>
      <c r="D21" s="39">
        <v>0</v>
      </c>
      <c r="E21" s="40">
        <v>0</v>
      </c>
      <c r="F21" s="40">
        <v>0</v>
      </c>
      <c r="G21" s="40">
        <v>0</v>
      </c>
      <c r="H21" s="40">
        <v>0</v>
      </c>
      <c r="I21" s="41">
        <v>26</v>
      </c>
      <c r="J21" s="42" t="s">
        <v>1</v>
      </c>
      <c r="K21" s="42" t="s">
        <v>1</v>
      </c>
      <c r="L21" s="42" t="s">
        <v>1</v>
      </c>
      <c r="M21" s="43">
        <v>0</v>
      </c>
      <c r="N21" s="43" t="s">
        <v>1</v>
      </c>
      <c r="O21" s="5">
        <f t="shared" ca="1" si="36"/>
        <v>59165.749043705684</v>
      </c>
      <c r="P21" s="5">
        <f t="shared" ca="1" si="37"/>
        <v>7246.2</v>
      </c>
      <c r="Q21" s="6">
        <f t="shared" ca="1" si="51"/>
        <v>66411.949043705681</v>
      </c>
      <c r="R21" s="66"/>
      <c r="S21" s="70"/>
      <c r="T21" s="73"/>
      <c r="U21" s="72"/>
      <c r="V21" s="62"/>
      <c r="W21" s="61"/>
      <c r="X21" s="55"/>
      <c r="Y21" s="26"/>
      <c r="Z21" s="26"/>
      <c r="AF21" s="21">
        <f t="shared" si="55"/>
        <v>46204</v>
      </c>
      <c r="AG21" s="21">
        <f t="shared" si="38"/>
        <v>46234</v>
      </c>
      <c r="AH21" s="22">
        <f t="shared" si="52"/>
        <v>31</v>
      </c>
      <c r="AI21" s="22">
        <f t="shared" si="53"/>
        <v>27</v>
      </c>
      <c r="AJ21" s="22">
        <f t="shared" si="54"/>
        <v>4</v>
      </c>
      <c r="AK21" s="14">
        <v>2546.2199999999998</v>
      </c>
      <c r="AL21" s="14">
        <f t="shared" ca="1" si="39"/>
        <v>1560.6037001999998</v>
      </c>
      <c r="AM21" s="14">
        <v>2546.2199999999998</v>
      </c>
      <c r="AN21" s="14">
        <f t="shared" ca="1" si="40"/>
        <v>1720.2186235333334</v>
      </c>
      <c r="AO21" s="23">
        <f t="shared" si="41"/>
        <v>78932.819999999992</v>
      </c>
      <c r="AP21" s="14">
        <f t="shared" ca="1" si="42"/>
        <v>48378.714706199993</v>
      </c>
      <c r="AQ21" s="14">
        <f t="shared" si="43"/>
        <v>0</v>
      </c>
      <c r="AR21" s="14">
        <f t="shared" ca="1" si="44"/>
        <v>0</v>
      </c>
      <c r="AS21" s="14">
        <f t="shared" si="45"/>
        <v>0</v>
      </c>
      <c r="AT21" s="14">
        <f t="shared" ca="1" si="46"/>
        <v>0</v>
      </c>
      <c r="AU21" s="14">
        <f t="shared" si="47"/>
        <v>0</v>
      </c>
      <c r="AV21" s="14">
        <f t="shared" ca="1" si="48"/>
        <v>0</v>
      </c>
      <c r="AW21" s="14">
        <f t="shared" si="49"/>
        <v>0</v>
      </c>
      <c r="AX21" s="14">
        <f t="shared" ca="1" si="50"/>
        <v>0</v>
      </c>
      <c r="BB21" s="13">
        <v>19</v>
      </c>
      <c r="BC21" s="17">
        <v>9.5</v>
      </c>
      <c r="BD21" s="18">
        <v>0.21</v>
      </c>
      <c r="BE21" s="58"/>
    </row>
    <row r="22" spans="1:57" ht="39.950000000000003" customHeight="1" x14ac:dyDescent="0.25">
      <c r="A22" s="4">
        <f t="shared" ca="1" si="35"/>
        <v>0.27</v>
      </c>
      <c r="B22" s="74" t="s">
        <v>85</v>
      </c>
      <c r="C22" s="75"/>
      <c r="D22" s="39">
        <v>0</v>
      </c>
      <c r="E22" s="40">
        <v>0</v>
      </c>
      <c r="F22" s="40">
        <v>0</v>
      </c>
      <c r="G22" s="40">
        <v>0</v>
      </c>
      <c r="H22" s="40">
        <v>0</v>
      </c>
      <c r="I22" s="41">
        <v>26</v>
      </c>
      <c r="J22" s="42" t="s">
        <v>1</v>
      </c>
      <c r="K22" s="42" t="s">
        <v>1</v>
      </c>
      <c r="L22" s="42" t="s">
        <v>1</v>
      </c>
      <c r="M22" s="43">
        <v>0</v>
      </c>
      <c r="N22" s="43" t="s">
        <v>1</v>
      </c>
      <c r="O22" s="5">
        <f t="shared" ca="1" si="36"/>
        <v>60243.099043705675</v>
      </c>
      <c r="P22" s="5">
        <f t="shared" ca="1" si="37"/>
        <v>7246.2</v>
      </c>
      <c r="Q22" s="6">
        <f t="shared" ca="1" si="51"/>
        <v>67489.299043705672</v>
      </c>
      <c r="R22" s="66"/>
      <c r="S22" s="70"/>
      <c r="T22" s="73"/>
      <c r="U22" s="72"/>
      <c r="V22" s="62"/>
      <c r="W22" s="61"/>
      <c r="X22" s="55"/>
      <c r="Y22" s="26"/>
      <c r="Z22" s="26"/>
      <c r="AB22" s="13">
        <f>(1500)</f>
        <v>1500</v>
      </c>
      <c r="AC22" s="13" t="s">
        <v>0</v>
      </c>
      <c r="AD22" s="14">
        <f>($AB$29*$AB$22)</f>
        <v>2081.8065000000001</v>
      </c>
      <c r="AE22" s="14">
        <f>($AC$29*$AB$22)</f>
        <v>2081.8065000000001</v>
      </c>
      <c r="AF22" s="21">
        <f t="shared" si="55"/>
        <v>46235</v>
      </c>
      <c r="AG22" s="21">
        <f t="shared" si="38"/>
        <v>46265</v>
      </c>
      <c r="AH22" s="22">
        <f t="shared" si="52"/>
        <v>31</v>
      </c>
      <c r="AI22" s="22">
        <f t="shared" si="53"/>
        <v>26</v>
      </c>
      <c r="AJ22" s="22">
        <f t="shared" si="54"/>
        <v>5</v>
      </c>
      <c r="AK22" s="14">
        <v>2546.2199999999998</v>
      </c>
      <c r="AL22" s="14">
        <f t="shared" ca="1" si="39"/>
        <v>1560.6037001999998</v>
      </c>
      <c r="AM22" s="14">
        <v>2546.2199999999998</v>
      </c>
      <c r="AN22" s="14">
        <f t="shared" ca="1" si="40"/>
        <v>1756.1302902</v>
      </c>
      <c r="AO22" s="23">
        <f t="shared" si="41"/>
        <v>78932.819999999992</v>
      </c>
      <c r="AP22" s="14">
        <f t="shared" ca="1" si="42"/>
        <v>48378.714706199993</v>
      </c>
      <c r="AQ22" s="14">
        <f t="shared" si="43"/>
        <v>0</v>
      </c>
      <c r="AR22" s="14">
        <f t="shared" ca="1" si="44"/>
        <v>0</v>
      </c>
      <c r="AS22" s="14">
        <f t="shared" si="45"/>
        <v>0</v>
      </c>
      <c r="AT22" s="14">
        <f t="shared" ca="1" si="46"/>
        <v>0</v>
      </c>
      <c r="AU22" s="14">
        <f t="shared" si="47"/>
        <v>0</v>
      </c>
      <c r="AV22" s="14">
        <f t="shared" ca="1" si="48"/>
        <v>0</v>
      </c>
      <c r="AW22" s="14">
        <f t="shared" si="49"/>
        <v>0</v>
      </c>
      <c r="AX22" s="14">
        <f t="shared" ca="1" si="50"/>
        <v>0</v>
      </c>
      <c r="BB22" s="13">
        <v>20</v>
      </c>
      <c r="BC22" s="17">
        <v>10</v>
      </c>
      <c r="BD22" s="18">
        <v>0.22</v>
      </c>
      <c r="BE22" s="58"/>
    </row>
    <row r="23" spans="1:57" ht="39.950000000000003" customHeight="1" x14ac:dyDescent="0.25">
      <c r="A23" s="4">
        <f t="shared" ca="1" si="35"/>
        <v>0.27</v>
      </c>
      <c r="B23" s="74" t="s">
        <v>86</v>
      </c>
      <c r="C23" s="75"/>
      <c r="D23" s="39">
        <v>0</v>
      </c>
      <c r="E23" s="40">
        <v>0</v>
      </c>
      <c r="F23" s="40">
        <v>0</v>
      </c>
      <c r="G23" s="40">
        <v>0</v>
      </c>
      <c r="H23" s="40">
        <v>0</v>
      </c>
      <c r="I23" s="41">
        <v>26</v>
      </c>
      <c r="J23" s="42" t="s">
        <v>1</v>
      </c>
      <c r="K23" s="42" t="s">
        <v>1</v>
      </c>
      <c r="L23" s="42" t="s">
        <v>1</v>
      </c>
      <c r="M23" s="43">
        <v>0</v>
      </c>
      <c r="N23" s="43" t="s">
        <v>1</v>
      </c>
      <c r="O23" s="5">
        <f t="shared" ca="1" si="36"/>
        <v>90033.726502005666</v>
      </c>
      <c r="P23" s="5">
        <f t="shared" ca="1" si="37"/>
        <v>7246.2</v>
      </c>
      <c r="Q23" s="6">
        <f t="shared" ca="1" si="51"/>
        <v>97279.926502005663</v>
      </c>
      <c r="R23" s="66"/>
      <c r="S23" s="70"/>
      <c r="T23" s="73"/>
      <c r="U23" s="72"/>
      <c r="V23" s="62"/>
      <c r="W23" s="61"/>
      <c r="X23" s="55"/>
      <c r="Y23" s="26"/>
      <c r="Z23" s="26"/>
      <c r="AB23" s="13">
        <f>(8000)</f>
        <v>8000</v>
      </c>
      <c r="AC23" s="13" t="s">
        <v>0</v>
      </c>
      <c r="AD23" s="14">
        <f>($AB$29*$AB$23)</f>
        <v>11102.968000000001</v>
      </c>
      <c r="AE23" s="14">
        <f>($AC$29*$AB$23)</f>
        <v>11102.968000000001</v>
      </c>
      <c r="AF23" s="21">
        <f t="shared" si="55"/>
        <v>46266</v>
      </c>
      <c r="AG23" s="21">
        <f t="shared" si="38"/>
        <v>46295</v>
      </c>
      <c r="AH23" s="22">
        <f t="shared" si="52"/>
        <v>30</v>
      </c>
      <c r="AI23" s="22">
        <f t="shared" si="53"/>
        <v>26</v>
      </c>
      <c r="AJ23" s="22">
        <f t="shared" si="54"/>
        <v>4</v>
      </c>
      <c r="AK23" s="14">
        <v>2928.15</v>
      </c>
      <c r="AL23" s="14">
        <f t="shared" ca="1" si="39"/>
        <v>1794.6924165</v>
      </c>
      <c r="AM23" s="14">
        <v>2928.15</v>
      </c>
      <c r="AN23" s="14">
        <f t="shared" ca="1" si="40"/>
        <v>1990.2190065000002</v>
      </c>
      <c r="AO23" s="23">
        <f t="shared" si="41"/>
        <v>87844.5</v>
      </c>
      <c r="AP23" s="14">
        <f t="shared" ca="1" si="42"/>
        <v>53840.772494999997</v>
      </c>
      <c r="AQ23" s="14">
        <f t="shared" si="43"/>
        <v>0</v>
      </c>
      <c r="AR23" s="14">
        <f t="shared" ca="1" si="44"/>
        <v>0</v>
      </c>
      <c r="AS23" s="14">
        <f t="shared" si="45"/>
        <v>0</v>
      </c>
      <c r="AT23" s="14">
        <f t="shared" ca="1" si="46"/>
        <v>0</v>
      </c>
      <c r="AU23" s="14">
        <f t="shared" si="47"/>
        <v>0</v>
      </c>
      <c r="AV23" s="14">
        <f t="shared" ca="1" si="48"/>
        <v>0</v>
      </c>
      <c r="AW23" s="14">
        <f t="shared" si="49"/>
        <v>0</v>
      </c>
      <c r="AX23" s="14">
        <f t="shared" ca="1" si="50"/>
        <v>0</v>
      </c>
      <c r="BB23" s="13">
        <v>21</v>
      </c>
      <c r="BC23" s="17">
        <v>10.5</v>
      </c>
      <c r="BD23" s="18">
        <v>0.23</v>
      </c>
      <c r="BE23" s="58"/>
    </row>
    <row r="24" spans="1:57" ht="39.950000000000003" customHeight="1" x14ac:dyDescent="0.25">
      <c r="A24" s="4">
        <f t="shared" ca="1" si="35"/>
        <v>0.27</v>
      </c>
      <c r="B24" s="74" t="s">
        <v>87</v>
      </c>
      <c r="C24" s="75"/>
      <c r="D24" s="39">
        <v>0</v>
      </c>
      <c r="E24" s="40">
        <v>0</v>
      </c>
      <c r="F24" s="40">
        <v>0</v>
      </c>
      <c r="G24" s="40">
        <v>0</v>
      </c>
      <c r="H24" s="40">
        <v>0</v>
      </c>
      <c r="I24" s="41">
        <v>26</v>
      </c>
      <c r="J24" s="42" t="s">
        <v>1</v>
      </c>
      <c r="K24" s="42" t="s">
        <v>1</v>
      </c>
      <c r="L24" s="42" t="s">
        <v>1</v>
      </c>
      <c r="M24" s="43">
        <v>0</v>
      </c>
      <c r="N24" s="43" t="s">
        <v>1</v>
      </c>
      <c r="O24" s="5">
        <f t="shared" ca="1" si="36"/>
        <v>67248.913234005668</v>
      </c>
      <c r="P24" s="5">
        <f t="shared" ca="1" si="37"/>
        <v>7246.2</v>
      </c>
      <c r="Q24" s="6">
        <f t="shared" ca="1" si="51"/>
        <v>74495.113234005665</v>
      </c>
      <c r="R24" s="66"/>
      <c r="S24" s="70"/>
      <c r="T24" s="73"/>
      <c r="U24" s="72"/>
      <c r="V24" s="62"/>
      <c r="W24" s="61"/>
      <c r="X24" s="55"/>
      <c r="Y24" s="26"/>
      <c r="Z24" s="26"/>
      <c r="AB24" s="13">
        <f>(500)</f>
        <v>500</v>
      </c>
      <c r="AC24" s="13" t="s">
        <v>0</v>
      </c>
      <c r="AD24" s="14">
        <f>($AB$29*$AB$24)</f>
        <v>693.93550000000005</v>
      </c>
      <c r="AE24" s="14">
        <f>($AC$29*$AB$24)</f>
        <v>693.93550000000005</v>
      </c>
      <c r="AF24" s="21">
        <f t="shared" si="55"/>
        <v>46296</v>
      </c>
      <c r="AG24" s="21">
        <f t="shared" si="38"/>
        <v>46326</v>
      </c>
      <c r="AH24" s="22">
        <f t="shared" si="52"/>
        <v>31</v>
      </c>
      <c r="AI24" s="22">
        <f t="shared" si="53"/>
        <v>27</v>
      </c>
      <c r="AJ24" s="22">
        <f t="shared" si="54"/>
        <v>4</v>
      </c>
      <c r="AK24" s="14">
        <v>2928.15</v>
      </c>
      <c r="AL24" s="14">
        <f t="shared" ca="1" si="39"/>
        <v>1794.6924165</v>
      </c>
      <c r="AM24" s="14">
        <v>2928.15</v>
      </c>
      <c r="AN24" s="14">
        <f t="shared" ca="1" si="40"/>
        <v>1990.2190065000002</v>
      </c>
      <c r="AO24" s="23">
        <f t="shared" si="41"/>
        <v>90772.650000000009</v>
      </c>
      <c r="AP24" s="14">
        <f t="shared" ca="1" si="42"/>
        <v>55635.464911499999</v>
      </c>
      <c r="AQ24" s="14">
        <f t="shared" si="43"/>
        <v>0</v>
      </c>
      <c r="AR24" s="14">
        <f t="shared" ca="1" si="44"/>
        <v>0</v>
      </c>
      <c r="AS24" s="14">
        <f t="shared" si="45"/>
        <v>0</v>
      </c>
      <c r="AT24" s="14">
        <f t="shared" ca="1" si="46"/>
        <v>0</v>
      </c>
      <c r="AU24" s="14">
        <f t="shared" si="47"/>
        <v>0</v>
      </c>
      <c r="AV24" s="14">
        <f t="shared" ca="1" si="48"/>
        <v>0</v>
      </c>
      <c r="AW24" s="14">
        <f t="shared" si="49"/>
        <v>0</v>
      </c>
      <c r="AX24" s="14">
        <f t="shared" ca="1" si="50"/>
        <v>0</v>
      </c>
      <c r="BB24" s="13">
        <v>22</v>
      </c>
      <c r="BC24" s="17">
        <v>11</v>
      </c>
      <c r="BD24" s="18">
        <v>0.24</v>
      </c>
      <c r="BE24" s="58"/>
    </row>
    <row r="25" spans="1:57" ht="39.950000000000003" customHeight="1" x14ac:dyDescent="0.25">
      <c r="A25" s="4">
        <f t="shared" ca="1" si="35"/>
        <v>0.27</v>
      </c>
      <c r="B25" s="74" t="s">
        <v>88</v>
      </c>
      <c r="C25" s="75"/>
      <c r="D25" s="39">
        <v>0</v>
      </c>
      <c r="E25" s="40">
        <v>0</v>
      </c>
      <c r="F25" s="40">
        <v>0</v>
      </c>
      <c r="G25" s="40">
        <v>0</v>
      </c>
      <c r="H25" s="40">
        <v>0</v>
      </c>
      <c r="I25" s="41">
        <v>26</v>
      </c>
      <c r="J25" s="42" t="s">
        <v>1</v>
      </c>
      <c r="K25" s="42" t="s">
        <v>1</v>
      </c>
      <c r="L25" s="42" t="s">
        <v>1</v>
      </c>
      <c r="M25" s="43">
        <v>0</v>
      </c>
      <c r="N25" s="43" t="s">
        <v>1</v>
      </c>
      <c r="O25" s="5">
        <f t="shared" ca="1" si="36"/>
        <v>65454.230392505677</v>
      </c>
      <c r="P25" s="5">
        <f t="shared" ca="1" si="37"/>
        <v>7246.2</v>
      </c>
      <c r="Q25" s="6">
        <f t="shared" ca="1" si="51"/>
        <v>72700.430392505674</v>
      </c>
      <c r="R25" s="66"/>
      <c r="S25" s="70"/>
      <c r="T25" s="73"/>
      <c r="U25" s="72"/>
      <c r="V25" s="62"/>
      <c r="W25" s="61"/>
      <c r="X25" s="55"/>
      <c r="Y25" s="26"/>
      <c r="Z25" s="26"/>
      <c r="AB25" s="13">
        <f>(1000)</f>
        <v>1000</v>
      </c>
      <c r="AC25" s="13" t="s">
        <v>0</v>
      </c>
      <c r="AD25" s="14">
        <f>($AB$30*$AB$25)</f>
        <v>22722.792999999998</v>
      </c>
      <c r="AE25" s="14">
        <f>($AC$30*$AB$25)</f>
        <v>22722.792999999998</v>
      </c>
      <c r="AF25" s="21">
        <f t="shared" si="55"/>
        <v>46327</v>
      </c>
      <c r="AG25" s="21">
        <f t="shared" si="38"/>
        <v>46356</v>
      </c>
      <c r="AH25" s="22">
        <f t="shared" si="52"/>
        <v>30</v>
      </c>
      <c r="AI25" s="22">
        <f t="shared" si="53"/>
        <v>25</v>
      </c>
      <c r="AJ25" s="22">
        <f t="shared" si="54"/>
        <v>5</v>
      </c>
      <c r="AK25" s="14">
        <v>2928.15</v>
      </c>
      <c r="AL25" s="14">
        <f t="shared" ca="1" si="39"/>
        <v>1794.6924165</v>
      </c>
      <c r="AM25" s="14">
        <v>2928.15</v>
      </c>
      <c r="AN25" s="14">
        <f t="shared" ca="1" si="40"/>
        <v>1990.2190065000002</v>
      </c>
      <c r="AO25" s="23">
        <f t="shared" si="41"/>
        <v>87844.5</v>
      </c>
      <c r="AP25" s="14">
        <f t="shared" ca="1" si="42"/>
        <v>53840.772494999997</v>
      </c>
      <c r="AQ25" s="14">
        <f t="shared" si="43"/>
        <v>0</v>
      </c>
      <c r="AR25" s="14">
        <f t="shared" ca="1" si="44"/>
        <v>0</v>
      </c>
      <c r="AS25" s="14">
        <f t="shared" si="45"/>
        <v>0</v>
      </c>
      <c r="AT25" s="14">
        <f t="shared" ca="1" si="46"/>
        <v>0</v>
      </c>
      <c r="AU25" s="14">
        <f t="shared" si="47"/>
        <v>0</v>
      </c>
      <c r="AV25" s="14">
        <f t="shared" ca="1" si="48"/>
        <v>0</v>
      </c>
      <c r="AW25" s="14">
        <f t="shared" si="49"/>
        <v>0</v>
      </c>
      <c r="AX25" s="14">
        <f t="shared" ca="1" si="50"/>
        <v>0</v>
      </c>
      <c r="BB25" s="13">
        <v>23</v>
      </c>
      <c r="BC25" s="17">
        <v>11.5</v>
      </c>
      <c r="BD25" s="18">
        <v>0.25</v>
      </c>
      <c r="BE25" s="58"/>
    </row>
    <row r="26" spans="1:57" ht="39.950000000000003" customHeight="1" x14ac:dyDescent="0.25">
      <c r="A26" s="4">
        <f t="shared" ca="1" si="35"/>
        <v>0.27</v>
      </c>
      <c r="B26" s="74" t="s">
        <v>89</v>
      </c>
      <c r="C26" s="75"/>
      <c r="D26" s="39">
        <v>0</v>
      </c>
      <c r="E26" s="40">
        <v>0</v>
      </c>
      <c r="F26" s="40">
        <v>0</v>
      </c>
      <c r="G26" s="40">
        <v>0</v>
      </c>
      <c r="H26" s="40">
        <v>0</v>
      </c>
      <c r="I26" s="41">
        <v>26</v>
      </c>
      <c r="J26" s="42" t="s">
        <v>1</v>
      </c>
      <c r="K26" s="42" t="s">
        <v>1</v>
      </c>
      <c r="L26" s="42" t="s">
        <v>1</v>
      </c>
      <c r="M26" s="43">
        <v>0</v>
      </c>
      <c r="N26" s="43" t="s">
        <v>1</v>
      </c>
      <c r="O26" s="5">
        <f t="shared" ca="1" si="36"/>
        <v>94169.305856505671</v>
      </c>
      <c r="P26" s="5">
        <f t="shared" ca="1" si="37"/>
        <v>7246.2</v>
      </c>
      <c r="Q26" s="6">
        <f t="shared" ca="1" si="51"/>
        <v>101415.50585650567</v>
      </c>
      <c r="R26" s="66"/>
      <c r="S26" s="70"/>
      <c r="T26" s="73"/>
      <c r="U26" s="72"/>
      <c r="V26" s="62"/>
      <c r="W26" s="61"/>
      <c r="X26" s="55"/>
      <c r="Y26" s="26"/>
      <c r="Z26" s="26"/>
      <c r="AB26" s="13">
        <f>($AB$22+$AB$23)</f>
        <v>9500</v>
      </c>
      <c r="AC26" s="13">
        <f>(2.15)</f>
        <v>2.15</v>
      </c>
      <c r="AD26" s="14">
        <f>($AB$29*$AB$26*$AC$26)</f>
        <v>28347.265175</v>
      </c>
      <c r="AE26" s="14">
        <f>($AC$29*$AB$26*$AC$26)</f>
        <v>28347.265175</v>
      </c>
      <c r="AF26" s="21">
        <f t="shared" si="55"/>
        <v>46357</v>
      </c>
      <c r="AG26" s="21">
        <f t="shared" si="38"/>
        <v>46387</v>
      </c>
      <c r="AH26" s="22">
        <f t="shared" si="52"/>
        <v>31</v>
      </c>
      <c r="AI26" s="22">
        <f t="shared" si="53"/>
        <v>27</v>
      </c>
      <c r="AJ26" s="22">
        <f t="shared" si="54"/>
        <v>4</v>
      </c>
      <c r="AK26" s="14">
        <v>2928.15</v>
      </c>
      <c r="AL26" s="14">
        <f t="shared" ca="1" si="39"/>
        <v>1794.6924165</v>
      </c>
      <c r="AM26" s="14">
        <v>2928.15</v>
      </c>
      <c r="AN26" s="14">
        <f t="shared" ca="1" si="40"/>
        <v>1990.2190065000002</v>
      </c>
      <c r="AO26" s="23">
        <f t="shared" si="41"/>
        <v>90772.650000000009</v>
      </c>
      <c r="AP26" s="14">
        <f t="shared" ca="1" si="42"/>
        <v>55635.464911499999</v>
      </c>
      <c r="AQ26" s="14">
        <f t="shared" si="43"/>
        <v>0</v>
      </c>
      <c r="AR26" s="14">
        <f t="shared" ca="1" si="44"/>
        <v>0</v>
      </c>
      <c r="AS26" s="14">
        <f t="shared" si="45"/>
        <v>0</v>
      </c>
      <c r="AT26" s="14">
        <f t="shared" ca="1" si="46"/>
        <v>0</v>
      </c>
      <c r="AU26" s="14">
        <f t="shared" si="47"/>
        <v>0</v>
      </c>
      <c r="AV26" s="14">
        <f t="shared" ca="1" si="48"/>
        <v>0</v>
      </c>
      <c r="AW26" s="14">
        <f t="shared" si="49"/>
        <v>0</v>
      </c>
      <c r="AX26" s="14">
        <f t="shared" ca="1" si="50"/>
        <v>0</v>
      </c>
      <c r="BB26" s="13">
        <v>24</v>
      </c>
      <c r="BC26" s="17">
        <v>12</v>
      </c>
      <c r="BD26" s="18">
        <v>0.26</v>
      </c>
      <c r="BE26" s="58"/>
    </row>
    <row r="27" spans="1:57" ht="39.950000000000003" customHeight="1" x14ac:dyDescent="0.25">
      <c r="A27" s="7" t="s">
        <v>0</v>
      </c>
      <c r="B27" s="74" t="s">
        <v>64</v>
      </c>
      <c r="C27" s="75"/>
      <c r="D27" s="3" t="s">
        <v>0</v>
      </c>
      <c r="E27" s="12">
        <f>(E15+E16+E17+E18+E19+E20+E21+E22+E23+E24+E25+E26)</f>
        <v>0</v>
      </c>
      <c r="F27" s="12">
        <f>(F15+F16+F17+F18+F19+F20+F21+F22+F23+F24+F25+F26)</f>
        <v>0</v>
      </c>
      <c r="G27" s="12">
        <f>(G15+G16+G17+G18+G19+G20+G21+G22+G23+G24+G25+G26)</f>
        <v>0</v>
      </c>
      <c r="H27" s="12">
        <f>(H15+H16+H17+H18+H19+H20+H21+H22+H23+H24+H25+H26)</f>
        <v>0</v>
      </c>
      <c r="I27" s="1">
        <f>(I15+I16+I17+I18+I19+I20+I21+I22+I23+I24+I25+I26)</f>
        <v>312</v>
      </c>
      <c r="J27" s="3" t="s">
        <v>0</v>
      </c>
      <c r="K27" s="3" t="s">
        <v>0</v>
      </c>
      <c r="L27" s="3" t="s">
        <v>0</v>
      </c>
      <c r="M27" s="1" t="s">
        <v>0</v>
      </c>
      <c r="N27" s="1" t="s">
        <v>0</v>
      </c>
      <c r="O27" s="8">
        <f t="shared" ref="O27" ca="1" si="56">(O15+O16+O17+O18+O19+O20+O21+O22+O23+O24+O25+O26)</f>
        <v>848431.91775429621</v>
      </c>
      <c r="P27" s="8">
        <f t="shared" ref="P27" ca="1" si="57">(P15+P16+P17+P18+P19+P20+P21+P22+P23+P24+P25+P26)</f>
        <v>86954.39999999998</v>
      </c>
      <c r="Q27" s="9">
        <f t="shared" ref="Q27" ca="1" si="58">(Q15+Q16+Q17+Q18+Q19+Q20+Q21+Q22+Q23+Q24+Q25+Q26)</f>
        <v>935386.31775429624</v>
      </c>
      <c r="R27" s="66"/>
      <c r="S27" s="70"/>
      <c r="T27" s="73"/>
      <c r="U27" s="72"/>
      <c r="V27" s="62"/>
      <c r="W27" s="61"/>
      <c r="X27" s="55"/>
      <c r="Y27" s="26"/>
      <c r="Z27" s="26"/>
      <c r="AB27" s="13" t="s">
        <v>0</v>
      </c>
      <c r="AC27" s="13" t="s">
        <v>0</v>
      </c>
      <c r="AD27" s="14">
        <f>($AD$22+$AD$23+$AD$24+$AD$25+$AD$26)</f>
        <v>64948.768174999997</v>
      </c>
      <c r="AE27" s="14">
        <f>($AE$22+$AE$23+$AE$24+$AE$25+$AE$26)</f>
        <v>64948.768174999997</v>
      </c>
      <c r="AF27" s="19" t="s">
        <v>0</v>
      </c>
      <c r="AG27" s="19" t="s">
        <v>0</v>
      </c>
      <c r="AH27" s="15">
        <f>(AH15+AH16+AH17+AH18+AH19+AH20+AH21+AH22+AH23+AH24+AH25+AH26)</f>
        <v>365</v>
      </c>
      <c r="AI27" s="15">
        <f>(AI15+AI16+AI17+AI18+AI19+AI20+AI21+AI22+AI23+AI24+AI25+AI26)</f>
        <v>313</v>
      </c>
      <c r="AJ27" s="15">
        <f>(AJ15+AJ16+AJ17+AJ18+AJ19+AJ20+AJ21+AJ22+AJ23+AJ24+AJ25+AJ26)</f>
        <v>52</v>
      </c>
      <c r="AK27" s="14">
        <f>(AK15+AK16+AK17+AK18+AK19+AK20+AK21+AK22+AK23+AK24+AK25+AK26)</f>
        <v>31294.960000000006</v>
      </c>
      <c r="AL27" s="14">
        <f t="shared" ref="AL27:AN27" ca="1" si="59">(AL15+AL16+AL17+AL18+AL19+AL20+AL21+AL22+AL23+AL24+AL25+AL26)</f>
        <v>20175.332798599004</v>
      </c>
      <c r="AM27" s="14">
        <f t="shared" si="59"/>
        <v>31294.960000000006</v>
      </c>
      <c r="AN27" s="14">
        <f t="shared" ca="1" si="59"/>
        <v>22204.986211932337</v>
      </c>
      <c r="AO27" s="14">
        <f t="shared" ref="AO27:AP27" si="60">(AO15+AO16+AO17+AO18+AO19+AO20+AO21+AO22+AO23+AO24+AO25+AO26)</f>
        <v>952737.46</v>
      </c>
      <c r="AP27" s="14">
        <f t="shared" ca="1" si="60"/>
        <v>613923.54755298991</v>
      </c>
      <c r="AQ27" s="14">
        <f t="shared" ref="AQ27:AR27" si="61">(AQ15+AQ16+AQ17+AQ18+AQ19+AQ20+AQ21+AQ22+AQ23+AQ24+AQ25+AQ26)</f>
        <v>0</v>
      </c>
      <c r="AR27" s="14">
        <f t="shared" ca="1" si="61"/>
        <v>0</v>
      </c>
      <c r="AS27" s="14">
        <f t="shared" ref="AS27:AT27" si="62">(AS15+AS16+AS17+AS18+AS19+AS20+AS21+AS22+AS23+AS24+AS25+AS26)</f>
        <v>0</v>
      </c>
      <c r="AT27" s="14">
        <f t="shared" ca="1" si="62"/>
        <v>0</v>
      </c>
      <c r="AU27" s="14">
        <f t="shared" ref="AU27:AV27" si="63">(AU15+AU16+AU17+AU18+AU19+AU20+AU21+AU22+AU23+AU24+AU25+AU26)</f>
        <v>0</v>
      </c>
      <c r="AV27" s="14">
        <f t="shared" ca="1" si="63"/>
        <v>0</v>
      </c>
      <c r="AW27" s="14">
        <f t="shared" ref="AW27:AX27" si="64">(AW15+AW16+AW17+AW18+AW19+AW20+AW21+AW22+AW23+AW24+AW25+AW26)</f>
        <v>0</v>
      </c>
      <c r="AX27" s="14">
        <f t="shared" ca="1" si="64"/>
        <v>0</v>
      </c>
      <c r="BB27" s="13">
        <v>25</v>
      </c>
      <c r="BC27" s="17">
        <v>12.5</v>
      </c>
      <c r="BD27" s="18">
        <v>0.27</v>
      </c>
      <c r="BE27" s="58"/>
    </row>
    <row r="28" spans="1:57" ht="39.950000000000003" customHeight="1" x14ac:dyDescent="0.25">
      <c r="A28" s="4">
        <f ca="1">(AS72)</f>
        <v>0.22862172064830114</v>
      </c>
      <c r="B28" s="74" t="s">
        <v>65</v>
      </c>
      <c r="C28" s="75"/>
      <c r="D28" s="3" t="s">
        <v>0</v>
      </c>
      <c r="E28" s="10" t="s">
        <v>0</v>
      </c>
      <c r="F28" s="10" t="s">
        <v>0</v>
      </c>
      <c r="G28" s="3" t="s">
        <v>0</v>
      </c>
      <c r="H28" s="3" t="s">
        <v>0</v>
      </c>
      <c r="I28" s="3" t="s">
        <v>0</v>
      </c>
      <c r="J28" s="3" t="s">
        <v>0</v>
      </c>
      <c r="K28" s="3" t="s">
        <v>0</v>
      </c>
      <c r="L28" s="3" t="s">
        <v>0</v>
      </c>
      <c r="M28" s="3" t="s">
        <v>0</v>
      </c>
      <c r="N28" s="3" t="s">
        <v>0</v>
      </c>
      <c r="O28" s="8">
        <f ca="1">(O27/12)</f>
        <v>70702.659812858023</v>
      </c>
      <c r="P28" s="8">
        <f ca="1">(P27/12)</f>
        <v>7246.199999999998</v>
      </c>
      <c r="Q28" s="9">
        <f ca="1">(Q27/12)</f>
        <v>77948.85981285802</v>
      </c>
      <c r="R28" s="66"/>
      <c r="S28" s="70"/>
      <c r="T28" s="73"/>
      <c r="U28" s="67"/>
      <c r="V28" s="68"/>
      <c r="W28" s="69"/>
      <c r="X28" s="56"/>
      <c r="Y28" s="26"/>
      <c r="Z28" s="26"/>
      <c r="AF28" s="19" t="s">
        <v>0</v>
      </c>
      <c r="AG28" s="19" t="s">
        <v>0</v>
      </c>
      <c r="AH28" s="19" t="s">
        <v>0</v>
      </c>
      <c r="AI28" s="19" t="s">
        <v>0</v>
      </c>
      <c r="AJ28" s="19" t="s">
        <v>0</v>
      </c>
      <c r="AK28" s="14">
        <f>(AK27/12)</f>
        <v>2607.9133333333339</v>
      </c>
      <c r="AL28" s="14">
        <f t="shared" ref="AL28:AN28" ca="1" si="65">(AL27/12)</f>
        <v>1681.2777332165836</v>
      </c>
      <c r="AM28" s="14">
        <f t="shared" si="65"/>
        <v>2607.9133333333339</v>
      </c>
      <c r="AN28" s="14">
        <f t="shared" ca="1" si="65"/>
        <v>1850.4155176610282</v>
      </c>
      <c r="AO28" s="14">
        <f t="shared" ref="AO28:AP28" si="66">(AO27/12)</f>
        <v>79394.78833333333</v>
      </c>
      <c r="AP28" s="14">
        <f t="shared" ca="1" si="66"/>
        <v>51160.295629415828</v>
      </c>
      <c r="AQ28" s="14">
        <f t="shared" ref="AQ28:AR28" si="67">(AQ27/12)</f>
        <v>0</v>
      </c>
      <c r="AR28" s="14">
        <f t="shared" ca="1" si="67"/>
        <v>0</v>
      </c>
      <c r="AS28" s="14">
        <f t="shared" ref="AS28:AT28" si="68">(AS27/12)</f>
        <v>0</v>
      </c>
      <c r="AT28" s="14">
        <f t="shared" ca="1" si="68"/>
        <v>0</v>
      </c>
      <c r="AU28" s="14">
        <f t="shared" ref="AU28:AV28" si="69">(AU27/12)</f>
        <v>0</v>
      </c>
      <c r="AV28" s="14">
        <f t="shared" ca="1" si="69"/>
        <v>0</v>
      </c>
      <c r="AW28" s="14">
        <f t="shared" ref="AW28:AX28" si="70">(AW27/12)</f>
        <v>0</v>
      </c>
      <c r="AX28" s="14">
        <f t="shared" ca="1" si="70"/>
        <v>0</v>
      </c>
      <c r="BB28" s="13">
        <v>26</v>
      </c>
      <c r="BC28" s="17">
        <v>13</v>
      </c>
      <c r="BD28" s="18">
        <v>0.28000000000000003</v>
      </c>
      <c r="BE28" s="59"/>
    </row>
    <row r="29" spans="1:57" ht="39.950000000000003" hidden="1" customHeight="1" x14ac:dyDescent="0.25">
      <c r="AB29" s="27">
        <v>1.3878710000000001</v>
      </c>
      <c r="AC29" s="27">
        <v>1.3878710000000001</v>
      </c>
      <c r="AD29" s="13" t="s">
        <v>0</v>
      </c>
      <c r="AE29" s="25" t="s">
        <v>0</v>
      </c>
      <c r="AF29" s="14">
        <f t="shared" ref="AF29:AF40" si="71">(AK15/7.5*0.15*H15)</f>
        <v>0</v>
      </c>
      <c r="AG29" s="14">
        <f t="shared" ref="AG29:AG40" ca="1" si="72">(AF29*AX59)</f>
        <v>0</v>
      </c>
      <c r="AH29" s="14">
        <f t="shared" ref="AH29:AH40" si="73">(AK15*AX1)</f>
        <v>10762.6</v>
      </c>
      <c r="AI29" s="14">
        <f>(0)</f>
        <v>0</v>
      </c>
      <c r="AJ29" s="14">
        <f t="shared" ref="AJ29:AJ40" ca="1" si="74">(AI29*AX59)</f>
        <v>0</v>
      </c>
      <c r="AK29" s="15">
        <v>30</v>
      </c>
      <c r="AL29" s="14">
        <f t="shared" ref="AL29:AL30" si="75">(6136/30*AK29)</f>
        <v>6136</v>
      </c>
      <c r="AM29" s="14">
        <f t="shared" ref="AM29:AM40" ca="1" si="76">(AL29*AX59)</f>
        <v>4386.6877600000007</v>
      </c>
      <c r="AN29" s="28">
        <f t="shared" ref="AN29:AN40" ca="1" si="77">COUNTIF(J15,"Yok")*(0)
+COUNTIF(J15,"Askerlik Yardımı")*($AC$40/AX59)
+COUNTIF(J15,"Cenaze Yardımı (Anne-Baba)")*($AC$41+$AC$41*0.00759)
+COUNTIF(J15,"Cenaze Yardımı (Eş-Çocuk)")*($AC$42+$AC$42*0.00759)
+COUNTIF(J15,"Cenaze Yardımı (İşçi-İş Kazası Sonucu)")*($AC$43+$AC$43*0.00759)
+COUNTIF(J15,"Cenaze Yardımı (İşçi-Tabii Sebepler Sonucu)")*($AC$44+$AC$44*0.00759)
+COUNTIF(J15,"Doğal Afet Yardımı")*($AC$45+$AC$45*0.00759)
+COUNTIF(J15,"Eğitim Yardımı (Çocuk-İlköğretim)")*($AC$46/AX59)
+COUNTIF(J15,"Eğitim Yardımı (Çocuk-Ortaöğretim)")*($AC$47/AX59)
+COUNTIF(J15,"Eğitim Yardımı (Çocuk-Lise)")*($AC$48/AX59)
+COUNTIF(J15,"Eğitim Yardımı (Çocuk-Yükseköğretim)")*($AC$49/AX59)
+COUNTIF(J15,"Eğitim Yardımı (İşçi-Lise)")*($AC$50/AX59)
+COUNTIF(J15,"Eğitim Yardımı (İşçi-Yükseköğretim)")*($AC$51/AX59)
+COUNTIF(J15,"Evlilik Yardımı")*($AC$52+$AC$52*0.00759)
+COUNTIF(J15,"Gıda Yardımı")*($AC$53/AX59)
+COUNTIF(J15,"İş Kazası veya Meslek Hastalığı Tazminatı")*($AC$54+$AC$54*0.00759)
+COUNTIF(K15,"Yok")*(0)
+COUNTIF(K15,"Askerlik Yardımı")*($AC$40/AX59)
+COUNTIF(K15,"Cenaze Yardımı (Anne-Baba)")*($AC$41+$AC$41*0.00759)
+COUNTIF(K15,"Cenaze Yardımı (Eş-Çocuk)")*($AC$42+$AC$42*0.00759)
+COUNTIF(K15,"Cenaze Yardımı (İşçi-İş Kazası Sonucu)")*($AC$43+$AC$43*0.00759)
+COUNTIF(K15,"Cenaze Yardımı (İşçi-Tabii Sebepler Sonucu)")*($AC$44+$AC$44*0.00759)
+COUNTIF(K15,"Doğal Afet Yardımı")*($AC$45+$AC$45*0.00759)
+COUNTIF(K15,"Eğitim Yardımı (Çocuk-İlköğretim)")*($AC$46/AX59)
+COUNTIF(K15,"Eğitim Yardımı (Çocuk-Ortaöğretim)")*($AC$47/AX59)
+COUNTIF(K15,"Eğitim Yardımı (Çocuk-Lise)")*($AC$48/AX59)
+COUNTIF(K15,"Eğitim Yardımı (Çocuk-Yükseköğretim)")*($AC$49/AX59)
+COUNTIF(K15,"Eğitim Yardımı (İşçi-Lise)")*($AC$50/AX59)
+COUNTIF(K15,"Eğitim Yardımı (İşçi-Yükseköğretim)")*($AC$51/AX59)
+COUNTIF(K15,"Evlilik Yardımı")*($AC$52+$AC$52*0.00759)
+COUNTIF(K15,"Gıda Yardımı")*($AC$53/AX59)
+COUNTIF(K15,"İş Kazası veya Meslek Hastalığı Tazminatı")*($AC$54+$AC$54*0.00759)
+COUNTIF(L15,"Yok")*(0)
+COUNTIF(L15,"Askerlik Yardımı")*($AC$40/AX59)
+COUNTIF(L15,"Cenaze Yardımı (Anne-Baba)")*($AC$41+$AC$41*0.00759)
+COUNTIF(L15,"Cenaze Yardımı (Eş-Çocuk)")*($AC$42+$AC$42*0.00759)
+COUNTIF(L15,"Cenaze Yardımı (İşçi-İş Kazası Sonucu)")*($AC$43+$AC$43*0.00759)
+COUNTIF(L15,"Cenaze Yardımı (İşçi-Tabii Sebepler Sonucu)")*($AC$44+$AC$44*0.00759)
+COUNTIF(L15,"Doğal Afet Yardımı")*($AC$45+$AC$45*0.00759)
+COUNTIF(L15,"Eğitim Yardımı (Çocuk-İlköğretim)")*($AC$46/AX59)
+COUNTIF(L15,"Eğitim Yardımı (Çocuk-Ortaöğretim)")*($AC$47/AX59)
+COUNTIF(L15,"Eğitim Yardımı (Çocuk-Lise)")*($AC$48/AX59)
+COUNTIF(L15,"Eğitim Yardımı (Çocuk-Yükseköğretim)")*($AC$49/AX59)
+COUNTIF(L15,"Eğitim Yardımı (İşçi-Lise)")*($AC$50/AX59)
+COUNTIF(L15,"Eğitim Yardımı (İşçi-Yükseköğretim)")*($AC$51/AX59)
+COUNTIF(L15,"Evlilik Yardımı")*($AC$52+$AC$52*0.00759)
+COUNTIF(L15,"Gıda Yardımı")*($AC$53/AX59)
+COUNTIF(L15,"İş Kazası veya Meslek Hastalığı Tazminatı")*($AC$54+$AC$54*0.00759)</f>
        <v>0</v>
      </c>
      <c r="AO29" s="28">
        <f t="shared" ref="AO29:AO40" si="78">COUNTIF(J15,"Yok")*(0)
+COUNTIF(J15,"Askerlik Yardımı")*(0)
+COUNTIF(J15,"Cenaze Yardımı (Anne-Baba)")*($AC$41+$AC$41*0.00759)
+COUNTIF(J15,"Cenaze Yardımı (Eş-Çocuk)")*($AC$42+$AC$42*0.00759)
+COUNTIF(J15,"Cenaze Yardımı (İşçi-İş Kazası Sonucu)")*($AC$43+$AC$43*0.00759)
+COUNTIF(J15,"Cenaze Yardımı (İşçi-Tabii Sebepler Sonucu)")*($AC$44+$AC$44*0.00759)
+COUNTIF(J15,"Doğal Afet Yardımı")*($AC$45+$AC$45*0.00759)
+COUNTIF(J15,"Eğitim Yardımı (Çocuk-İlköğretim)")*(0)
+COUNTIF(J15,"Eğitim Yardımı (Çocuk-Ortaöğretim)")*(0)
+COUNTIF(J15,"Eğitim Yardımı (Çocuk-Lise)")*(0)
+COUNTIF(J15,"Eğitim Yardımı (Çocuk-Yükseköğretim)")*(0)
+COUNTIF(J15,"Eğitim Yardımı (İşçi-Lise)")*(0)
+COUNTIF(J15,"Eğitim Yardımı (İşçi-Yükseköğretim)")*(0)
+COUNTIF(J15,"Evlilik Yardımı")*($AC$52+$AC$52*0.00759)
+COUNTIF(J15,"Gıda Yardımı")*(0)
+COUNTIF(J15,"İş Kazası veya Meslek Hastalığı Tazminatı")*($AC$54+$AC$54*0.00759)
+COUNTIF(K15,"Yok")*(0)
+COUNTIF(K15,"Askerlik Yardımı")*(0)
+COUNTIF(K15,"Cenaze Yardımı (Anne-Baba)")*($AC$41+$AC$41*0.00759)
+COUNTIF(K15,"Cenaze Yardımı (Eş-Çocuk)")*($AC$42+$AC$42*0.00759)
+COUNTIF(K15,"Cenaze Yardımı (İşçi-İş Kazası Sonucu)")*($AC$43+$AC$43*0.00759)
+COUNTIF(K15,"Cenaze Yardımı (İşçi-Tabii Sebepler Sonucu)")*($AC$44+$AC$44*0.00759)
+COUNTIF(K15,"Doğal Afet Yardımı")*($AC$45+$AC$45*0.00759)
+COUNTIF(K15,"Eğitim Yardımı (Çocuk-İlköğretim)")*(0)
+COUNTIF(K15,"Eğitim Yardımı (Çocuk-Ortaöğretim)")*(0)
+COUNTIF(K15,"Eğitim Yardımı (Çocuk-Lise)")*(0)
+COUNTIF(K15,"Eğitim Yardımı (Çocuk-Yükseköğretim)")*(0)
+COUNTIF(K15,"Eğitim Yardımı (İşçi-Lise)")*(0)
+COUNTIF(K15,"Eğitim Yardımı (İşçi-Yükseköğretim)")*(0)
+COUNTIF(K15,"Evlilik Yardımı")*($AC$52+$AC$52*0.00759)
+COUNTIF(K15,"Gıda Yardımı")*(0)
+COUNTIF(K15,"İş Kazası veya Meslek Hastalığı Tazminatı")*($AC$54+$AC$54*0.00759)
+COUNTIF(L15,"Yok")*(0)
+COUNTIF(L15,"Askerlik Yardımı")*(0)
+COUNTIF(L15,"Cenaze Yardımı (Anne-Baba)")*($AC$41+$AC$41*0.00759)
+COUNTIF(L15,"Cenaze Yardımı (Eş-Çocuk)")*($AC$42+$AC$42*0.00759)
+COUNTIF(L15,"Cenaze Yardımı (İşçi-İş Kazası Sonucu)")*($AC$43+$AC$43*0.00759)
+COUNTIF(L15,"Cenaze Yardımı (İşçi-Tabii Sebepler Sonucu)")*($AC$44+$AC$44*0.00759)
+COUNTIF(L15,"Doğal Afet Yardımı")*($AC$45+$AC$45*0.00759)
+COUNTIF(L15,"Eğitim Yardımı (Çocuk-İlköğretim)")*(0)
+COUNTIF(L15,"Eğitim Yardımı (Çocuk-Ortaöğretim)")*(0)
+COUNTIF(L15,"Eğitim Yardımı (Çocuk-Lise)")*(0)
+COUNTIF(L15,"Eğitim Yardımı (Çocuk-Yükseköğretim)")*(0)
+COUNTIF(L15,"Eğitim Yardımı (İşçi-Lise)")*(0)
+COUNTIF(L15,"Eğitim Yardımı (İşçi-Yükseköğretim)")*(0)
+COUNTIF(L15,"Evlilik Yardımı")*($AC$52+$AC$52*0.00759)
+COUNTIF(L15,"Gıda Yardımı")*(0)
+COUNTIF(L15,"İş Kazası veya Meslek Hastalığı Tazminatı")*($AC$54+$AC$54*0.00759)</f>
        <v>0</v>
      </c>
      <c r="AP29" s="28">
        <f t="shared" ref="AP29:AP40" si="79">COUNTIF(J15,"Yok")*(0)
+COUNTIF(J15,"Askerlik Yardımı")*($AC$40)
+COUNTIF(J15,"Cenaze Yardımı (Anne-Baba)")*($AC$41)
+COUNTIF(J15,"Cenaze Yardımı (Eş-Çocuk)")*($AC$42)
+COUNTIF(J15,"Cenaze Yardımı (İşçi-İş Kazası Sonucu)")*($AC$43)
+COUNTIF(J15,"Cenaze Yardımı (İşçi-Tabii Sebepler Sonucu)")*($AC$44)
+COUNTIF(J15,"Doğal Afet Yardımı")*($AC$45)
+COUNTIF(J15,"Eğitim Yardımı (Çocuk-İlköğretim)")*($AC$46)
+COUNTIF(J15,"Eğitim Yardımı (Çocuk-Ortaöğretim)")*($AC$47)
+COUNTIF(J15,"Eğitim Yardımı (Çocuk-Lise)")*($AC$48)
+COUNTIF(J15,"Eğitim Yardımı (Çocuk-Yükseköğretim)")*($AC$49)
+COUNTIF(J15,"Eğitim Yardımı (İşçi-Lise)")*($AC$50)
+COUNTIF(J15,"Eğitim Yardımı (İşçi-Yükseköğretim)")*($AC$51)
+COUNTIF(J15,"Evlilik Yardımı")*($AC$52)
+COUNTIF(J15,"Gıda Yardımı")*($AC$53)
+COUNTIF(J15,"İş Kazası veya Meslek Hastalığı Tazminatı")*($AC$54)
+COUNTIF(K15,"Yok")*(0)
+COUNTIF(K15,"Askerlik Yardımı")*($AC$40)
+COUNTIF(K15,"Cenaze Yardımı (Anne-Baba)")*($AC$41)
+COUNTIF(K15,"Cenaze Yardımı (Eş-Çocuk)")*($AC$42)
+COUNTIF(K15,"Cenaze Yardımı (İşçi-İş Kazası Sonucu)")*($AC$43)
+COUNTIF(K15,"Cenaze Yardımı (İşçi-Tabii Sebepler Sonucu)")*($AC$44)
+COUNTIF(K15,"Doğal Afet Yardımı")*($AC$45)
+COUNTIF(K15,"Eğitim Yardımı (Çocuk-İlköğretim)")*($AC$46)
+COUNTIF(K15,"Eğitim Yardımı (Çocuk-Ortaöğretim)")*($AC$47)
+COUNTIF(K15,"Eğitim Yardımı (Çocuk-Lise)")*($AC$48)
+COUNTIF(K15,"Eğitim Yardımı (Çocuk-Yükseköğretim)")*($AC$49)
+COUNTIF(K15,"Eğitim Yardımı (İşçi-Lise)")*($AC$50)
+COUNTIF(K15,"Eğitim Yardımı (İşçi-Yükseköğretim)")*($AC$51)
+COUNTIF(K15,"Evlilik Yardımı")*($AC$52)
+COUNTIF(K15,"Gıda Yardımı")*($AC$53)
+COUNTIF(K15,"İş Kazası veya Meslek Hastalığı Tazminatı")*($AC$54)
+COUNTIF(L15,"Yok")*(0)
+COUNTIF(L15,"Askerlik Yardımı")*($AC$40)
+COUNTIF(L15,"Cenaze Yardımı (Anne-Baba)")*($AC$41)
+COUNTIF(L15,"Cenaze Yardımı (Eş-Çocuk)")*($AC$42)
+COUNTIF(L15,"Cenaze Yardımı (İşçi-İş Kazası Sonucu)")*($AC$43)
+COUNTIF(L15,"Cenaze Yardımı (İşçi-Tabii Sebepler Sonucu)")*($AC$44)
+COUNTIF(L15,"Doğal Afet Yardımı")*($AC$45)
+COUNTIF(L15,"Eğitim Yardımı (Çocuk-İlköğretim)")*($AC$46)
+COUNTIF(L15,"Eğitim Yardımı (Çocuk-Ortaöğretim)")*($AC$47)
+COUNTIF(L15,"Eğitim Yardımı (Çocuk-Lise)")*($AC$48)
+COUNTIF(L15,"Eğitim Yardımı (Çocuk-Yükseköğretim)")*($AC$49)
+COUNTIF(L15,"Eğitim Yardımı (İşçi-Lise)")*($AC$50)
+COUNTIF(L15,"Eğitim Yardımı (İşçi-Yükseköğretim)")*($AC$51)
+COUNTIF(L15,"Evlilik Yardımı")*($AC$52)
+COUNTIF(L15,"Gıda Yardımı")*($AC$53)
+COUNTIF(L15,"İş Kazası veya Meslek Hastalığı Tazminatı")*($AC$54)</f>
        <v>0</v>
      </c>
      <c r="AQ29" s="25" t="s">
        <v>9</v>
      </c>
      <c r="AR29" s="14">
        <f t="shared" ref="AR29:AR40" si="80">(AK15*0.9*-1)</f>
        <v>-1937.268</v>
      </c>
      <c r="AS29" s="14">
        <f>(AR29*-1)</f>
        <v>1937.268</v>
      </c>
      <c r="AT29" s="28">
        <f t="shared" ref="AT29:AT40" ca="1" si="81">(AJ59*M15+AU29)*-1</f>
        <v>0</v>
      </c>
      <c r="AU29" s="28">
        <f t="shared" ref="AU29:AU40" si="82">(AS15+AU15+AW15+AF29+AF1-AM1)*(M15*-1)</f>
        <v>0</v>
      </c>
      <c r="AV29" s="28">
        <f ca="1">(AT29+AU29)</f>
        <v>0</v>
      </c>
      <c r="AW29" s="28">
        <f t="shared" ref="AW29:AW40" si="83">COUNTIF(N15,"Yok")*(0)
+COUNTIF(N15,"1. Derece")*($AB$36)
+COUNTIF(N15,"2. Derece")*($AB$37)
+COUNTIF(N15,"3. Derece")*($AB$38)</f>
        <v>0</v>
      </c>
      <c r="AX29" s="14">
        <f t="shared" ref="AX29:AX34" si="84">($AD$8)</f>
        <v>33030</v>
      </c>
      <c r="BB29" s="13">
        <v>27</v>
      </c>
      <c r="BC29" s="17">
        <v>13.5</v>
      </c>
      <c r="BD29" s="18">
        <v>0.28999999999999998</v>
      </c>
    </row>
    <row r="30" spans="1:57" ht="39.950000000000003" hidden="1" customHeight="1" x14ac:dyDescent="0.25">
      <c r="AB30" s="27">
        <v>22.722792999999999</v>
      </c>
      <c r="AC30" s="27">
        <v>22.722792999999999</v>
      </c>
      <c r="AD30" s="13" t="s">
        <v>0</v>
      </c>
      <c r="AE30" s="25" t="s">
        <v>0</v>
      </c>
      <c r="AF30" s="14">
        <f t="shared" si="71"/>
        <v>0</v>
      </c>
      <c r="AG30" s="14">
        <f t="shared" ca="1" si="72"/>
        <v>0</v>
      </c>
      <c r="AH30" s="14">
        <f t="shared" si="73"/>
        <v>10762.6</v>
      </c>
      <c r="AI30" s="14">
        <f>(0)</f>
        <v>0</v>
      </c>
      <c r="AJ30" s="14">
        <f t="shared" ca="1" si="74"/>
        <v>0</v>
      </c>
      <c r="AK30" s="15">
        <v>30</v>
      </c>
      <c r="AL30" s="14">
        <f t="shared" si="75"/>
        <v>6136</v>
      </c>
      <c r="AM30" s="14">
        <f t="shared" ca="1" si="76"/>
        <v>4386.6877600000007</v>
      </c>
      <c r="AN30" s="28">
        <f t="shared" ca="1" si="77"/>
        <v>4291.4492733351044</v>
      </c>
      <c r="AO30" s="28">
        <f t="shared" si="78"/>
        <v>0</v>
      </c>
      <c r="AP30" s="28">
        <f t="shared" si="79"/>
        <v>3068</v>
      </c>
      <c r="AQ30" s="25" t="s">
        <v>9</v>
      </c>
      <c r="AR30" s="14">
        <f t="shared" si="80"/>
        <v>-1937.268</v>
      </c>
      <c r="AS30" s="14">
        <f t="shared" ref="AS30:AS40" si="85">(AR30*-1)</f>
        <v>1937.268</v>
      </c>
      <c r="AT30" s="28">
        <f t="shared" ca="1" si="81"/>
        <v>0</v>
      </c>
      <c r="AU30" s="28">
        <f t="shared" si="82"/>
        <v>0</v>
      </c>
      <c r="AV30" s="28">
        <f t="shared" ref="AV30:AV40" ca="1" si="86">(AT30+AU30)</f>
        <v>0</v>
      </c>
      <c r="AW30" s="28">
        <f t="shared" si="83"/>
        <v>0</v>
      </c>
      <c r="AX30" s="14">
        <f t="shared" si="84"/>
        <v>33030</v>
      </c>
      <c r="BB30" s="13">
        <v>28</v>
      </c>
      <c r="BC30" s="17">
        <v>14</v>
      </c>
      <c r="BD30" s="18">
        <v>0.3</v>
      </c>
    </row>
    <row r="31" spans="1:57" ht="39.950000000000003" hidden="1" customHeight="1" x14ac:dyDescent="0.25">
      <c r="AB31" s="27">
        <v>0.44144099999999997</v>
      </c>
      <c r="AC31" s="27">
        <v>0.44144099999999997</v>
      </c>
      <c r="AD31" s="13" t="s">
        <v>0</v>
      </c>
      <c r="AE31" s="25" t="s">
        <v>0</v>
      </c>
      <c r="AF31" s="14">
        <f t="shared" si="71"/>
        <v>0</v>
      </c>
      <c r="AG31" s="14">
        <f t="shared" ca="1" si="72"/>
        <v>0</v>
      </c>
      <c r="AH31" s="14">
        <f t="shared" si="73"/>
        <v>12731.099999999999</v>
      </c>
      <c r="AI31" s="14">
        <f>(AH29+AH30+AH31)</f>
        <v>34256.300000000003</v>
      </c>
      <c r="AJ31" s="14">
        <f t="shared" ca="1" si="74"/>
        <v>23944.04866814012</v>
      </c>
      <c r="AK31" s="15">
        <v>30</v>
      </c>
      <c r="AL31" s="14">
        <v>7135.55</v>
      </c>
      <c r="AM31" s="14">
        <f t="shared" ca="1" si="76"/>
        <v>4987.5192730664785</v>
      </c>
      <c r="AN31" s="28">
        <f t="shared" ca="1" si="77"/>
        <v>0</v>
      </c>
      <c r="AO31" s="28">
        <f t="shared" si="78"/>
        <v>0</v>
      </c>
      <c r="AP31" s="28">
        <f t="shared" si="79"/>
        <v>0</v>
      </c>
      <c r="AQ31" s="25" t="s">
        <v>9</v>
      </c>
      <c r="AR31" s="14">
        <f t="shared" si="80"/>
        <v>-2291.598</v>
      </c>
      <c r="AS31" s="14">
        <f t="shared" si="85"/>
        <v>2291.598</v>
      </c>
      <c r="AT31" s="28">
        <f t="shared" ca="1" si="81"/>
        <v>0</v>
      </c>
      <c r="AU31" s="28">
        <f t="shared" si="82"/>
        <v>0</v>
      </c>
      <c r="AV31" s="28">
        <f t="shared" ca="1" si="86"/>
        <v>0</v>
      </c>
      <c r="AW31" s="28">
        <f t="shared" si="83"/>
        <v>0</v>
      </c>
      <c r="AX31" s="14">
        <f t="shared" si="84"/>
        <v>33030</v>
      </c>
      <c r="BB31" s="13">
        <v>29</v>
      </c>
      <c r="BC31" s="17">
        <v>14.5</v>
      </c>
      <c r="BD31" s="18">
        <v>0.31</v>
      </c>
    </row>
    <row r="32" spans="1:57" ht="39.950000000000003" hidden="1" customHeight="1" x14ac:dyDescent="0.25">
      <c r="AF32" s="14">
        <f t="shared" si="71"/>
        <v>0</v>
      </c>
      <c r="AG32" s="14">
        <f t="shared" ca="1" si="72"/>
        <v>0</v>
      </c>
      <c r="AH32" s="14">
        <f t="shared" si="73"/>
        <v>12731.099999999999</v>
      </c>
      <c r="AI32" s="14">
        <f>(0)</f>
        <v>0</v>
      </c>
      <c r="AJ32" s="14">
        <f t="shared" ca="1" si="74"/>
        <v>0</v>
      </c>
      <c r="AK32" s="15">
        <v>30</v>
      </c>
      <c r="AL32" s="14">
        <v>7135.55</v>
      </c>
      <c r="AM32" s="14">
        <f t="shared" ca="1" si="76"/>
        <v>4798.0151754999997</v>
      </c>
      <c r="AN32" s="28">
        <f t="shared" ca="1" si="77"/>
        <v>0</v>
      </c>
      <c r="AO32" s="28">
        <f t="shared" si="78"/>
        <v>0</v>
      </c>
      <c r="AP32" s="28">
        <f t="shared" si="79"/>
        <v>0</v>
      </c>
      <c r="AQ32" s="25" t="s">
        <v>9</v>
      </c>
      <c r="AR32" s="14">
        <f t="shared" si="80"/>
        <v>-2291.598</v>
      </c>
      <c r="AS32" s="14">
        <f t="shared" si="85"/>
        <v>2291.598</v>
      </c>
      <c r="AT32" s="28">
        <f t="shared" ca="1" si="81"/>
        <v>0</v>
      </c>
      <c r="AU32" s="28">
        <f t="shared" si="82"/>
        <v>0</v>
      </c>
      <c r="AV32" s="28">
        <f t="shared" ca="1" si="86"/>
        <v>0</v>
      </c>
      <c r="AW32" s="28">
        <f t="shared" si="83"/>
        <v>0</v>
      </c>
      <c r="AX32" s="14">
        <f t="shared" si="84"/>
        <v>33030</v>
      </c>
      <c r="BB32" s="13">
        <v>30</v>
      </c>
      <c r="BC32" s="17">
        <v>15</v>
      </c>
      <c r="BD32" s="18">
        <v>0.32</v>
      </c>
    </row>
    <row r="33" spans="28:56" ht="39.950000000000003" hidden="1" customHeight="1" x14ac:dyDescent="0.25">
      <c r="AB33" s="19">
        <f>($AB$34*2)</f>
        <v>19000</v>
      </c>
      <c r="AC33" s="13" t="s">
        <v>0</v>
      </c>
      <c r="AD33" s="14">
        <f>($AB$29*$AB$33)</f>
        <v>26369.549000000003</v>
      </c>
      <c r="AE33" s="14">
        <f>($AC$29*$AB$33)</f>
        <v>26369.549000000003</v>
      </c>
      <c r="AF33" s="14">
        <f t="shared" si="71"/>
        <v>0</v>
      </c>
      <c r="AG33" s="14">
        <f t="shared" ca="1" si="72"/>
        <v>0</v>
      </c>
      <c r="AH33" s="14">
        <f t="shared" si="73"/>
        <v>12731.099999999999</v>
      </c>
      <c r="AI33" s="14">
        <f>(0)</f>
        <v>0</v>
      </c>
      <c r="AJ33" s="14">
        <f t="shared" ca="1" si="74"/>
        <v>0</v>
      </c>
      <c r="AK33" s="15">
        <v>30</v>
      </c>
      <c r="AL33" s="14">
        <v>7135.55</v>
      </c>
      <c r="AM33" s="14">
        <f t="shared" ca="1" si="76"/>
        <v>4798.0151754999997</v>
      </c>
      <c r="AN33" s="28">
        <f t="shared" ca="1" si="77"/>
        <v>0</v>
      </c>
      <c r="AO33" s="28">
        <f t="shared" si="78"/>
        <v>0</v>
      </c>
      <c r="AP33" s="28">
        <f t="shared" si="79"/>
        <v>0</v>
      </c>
      <c r="AQ33" s="25" t="s">
        <v>9</v>
      </c>
      <c r="AR33" s="14">
        <f t="shared" si="80"/>
        <v>-2291.598</v>
      </c>
      <c r="AS33" s="14">
        <f t="shared" si="85"/>
        <v>2291.598</v>
      </c>
      <c r="AT33" s="28">
        <f t="shared" ca="1" si="81"/>
        <v>0</v>
      </c>
      <c r="AU33" s="28">
        <f t="shared" si="82"/>
        <v>0</v>
      </c>
      <c r="AV33" s="28">
        <f t="shared" ca="1" si="86"/>
        <v>0</v>
      </c>
      <c r="AW33" s="28">
        <f t="shared" si="83"/>
        <v>0</v>
      </c>
      <c r="AX33" s="14">
        <f t="shared" si="84"/>
        <v>33030</v>
      </c>
      <c r="BB33" s="13">
        <v>31</v>
      </c>
      <c r="BC33" s="17">
        <v>15.5</v>
      </c>
      <c r="BD33" s="18">
        <v>0.33</v>
      </c>
    </row>
    <row r="34" spans="28:56" ht="39.950000000000003" hidden="1" customHeight="1" x14ac:dyDescent="0.25">
      <c r="AB34" s="19">
        <f>(9500)</f>
        <v>9500</v>
      </c>
      <c r="AC34" s="13" t="s">
        <v>0</v>
      </c>
      <c r="AD34" s="14">
        <f>($AB$29*$AB$34)</f>
        <v>13184.774500000001</v>
      </c>
      <c r="AE34" s="14">
        <f>($AC$29*$AB$34)</f>
        <v>13184.774500000001</v>
      </c>
      <c r="AF34" s="14">
        <f t="shared" si="71"/>
        <v>0</v>
      </c>
      <c r="AG34" s="14">
        <f t="shared" ca="1" si="72"/>
        <v>0</v>
      </c>
      <c r="AH34" s="14">
        <f t="shared" si="73"/>
        <v>12731.099999999999</v>
      </c>
      <c r="AI34" s="14">
        <f t="shared" ref="AI34:AI40" si="87">(AH32+AH33+AH34)</f>
        <v>38193.299999999996</v>
      </c>
      <c r="AJ34" s="14">
        <f t="shared" ca="1" si="74"/>
        <v>23905.595411686958</v>
      </c>
      <c r="AK34" s="15">
        <v>30</v>
      </c>
      <c r="AL34" s="14">
        <v>7135.55</v>
      </c>
      <c r="AM34" s="14">
        <f t="shared" ca="1" si="76"/>
        <v>4466.2171464592711</v>
      </c>
      <c r="AN34" s="28">
        <f t="shared" ca="1" si="77"/>
        <v>0</v>
      </c>
      <c r="AO34" s="28">
        <f t="shared" si="78"/>
        <v>0</v>
      </c>
      <c r="AP34" s="28">
        <f t="shared" si="79"/>
        <v>0</v>
      </c>
      <c r="AQ34" s="25" t="s">
        <v>9</v>
      </c>
      <c r="AR34" s="14">
        <f t="shared" si="80"/>
        <v>-2291.598</v>
      </c>
      <c r="AS34" s="14">
        <f t="shared" si="85"/>
        <v>2291.598</v>
      </c>
      <c r="AT34" s="28">
        <f t="shared" ca="1" si="81"/>
        <v>0</v>
      </c>
      <c r="AU34" s="28">
        <f t="shared" si="82"/>
        <v>0</v>
      </c>
      <c r="AV34" s="28">
        <f t="shared" ca="1" si="86"/>
        <v>0</v>
      </c>
      <c r="AW34" s="28">
        <f t="shared" si="83"/>
        <v>0</v>
      </c>
      <c r="AX34" s="14">
        <f t="shared" si="84"/>
        <v>33030</v>
      </c>
      <c r="BB34" s="13">
        <v>32</v>
      </c>
      <c r="BC34" s="17">
        <v>16</v>
      </c>
      <c r="BD34" s="18">
        <v>0.34</v>
      </c>
    </row>
    <row r="35" spans="28:56" ht="39.950000000000003" hidden="1" customHeight="1" x14ac:dyDescent="0.25">
      <c r="AF35" s="14">
        <f t="shared" si="71"/>
        <v>0</v>
      </c>
      <c r="AG35" s="14">
        <f t="shared" ca="1" si="72"/>
        <v>0</v>
      </c>
      <c r="AH35" s="14">
        <f t="shared" si="73"/>
        <v>12731.099999999999</v>
      </c>
      <c r="AI35" s="14">
        <f>(0)</f>
        <v>0</v>
      </c>
      <c r="AJ35" s="14">
        <f t="shared" ca="1" si="74"/>
        <v>0</v>
      </c>
      <c r="AK35" s="15">
        <v>30</v>
      </c>
      <c r="AL35" s="14">
        <v>7135.55</v>
      </c>
      <c r="AM35" s="14">
        <f t="shared" ca="1" si="76"/>
        <v>4373.4499504999994</v>
      </c>
      <c r="AN35" s="28">
        <f t="shared" ca="1" si="77"/>
        <v>0</v>
      </c>
      <c r="AO35" s="28">
        <f t="shared" si="78"/>
        <v>0</v>
      </c>
      <c r="AP35" s="28">
        <f t="shared" si="79"/>
        <v>0</v>
      </c>
      <c r="AQ35" s="25" t="s">
        <v>9</v>
      </c>
      <c r="AR35" s="14">
        <f t="shared" si="80"/>
        <v>-2291.598</v>
      </c>
      <c r="AS35" s="14">
        <f t="shared" si="85"/>
        <v>2291.598</v>
      </c>
      <c r="AT35" s="28">
        <f t="shared" ca="1" si="81"/>
        <v>0</v>
      </c>
      <c r="AU35" s="28">
        <f t="shared" si="82"/>
        <v>0</v>
      </c>
      <c r="AV35" s="28">
        <f t="shared" ca="1" si="86"/>
        <v>0</v>
      </c>
      <c r="AW35" s="28">
        <f t="shared" si="83"/>
        <v>0</v>
      </c>
      <c r="AX35" s="14">
        <f t="shared" ref="AX35:AX40" si="88">($AE$8)</f>
        <v>33030</v>
      </c>
      <c r="BB35" s="13">
        <v>33</v>
      </c>
      <c r="BC35" s="17">
        <v>16.5</v>
      </c>
      <c r="BD35" s="18">
        <v>0.35</v>
      </c>
    </row>
    <row r="36" spans="28:56" ht="39.950000000000003" hidden="1" customHeight="1" x14ac:dyDescent="0.25">
      <c r="AB36" s="14">
        <v>12000</v>
      </c>
      <c r="AC36" s="13" t="s">
        <v>0</v>
      </c>
      <c r="AD36" s="13" t="s">
        <v>0</v>
      </c>
      <c r="AE36" s="13" t="s">
        <v>0</v>
      </c>
      <c r="AF36" s="14">
        <f t="shared" si="71"/>
        <v>0</v>
      </c>
      <c r="AG36" s="14">
        <f t="shared" ca="1" si="72"/>
        <v>0</v>
      </c>
      <c r="AH36" s="14">
        <f t="shared" si="73"/>
        <v>12731.099999999999</v>
      </c>
      <c r="AI36" s="14">
        <f>(0)</f>
        <v>0</v>
      </c>
      <c r="AJ36" s="14">
        <f t="shared" ca="1" si="74"/>
        <v>0</v>
      </c>
      <c r="AK36" s="15">
        <v>30</v>
      </c>
      <c r="AL36" s="14">
        <v>7135.55</v>
      </c>
      <c r="AM36" s="14">
        <f t="shared" ca="1" si="76"/>
        <v>4373.4499504999994</v>
      </c>
      <c r="AN36" s="28">
        <f t="shared" ca="1" si="77"/>
        <v>0</v>
      </c>
      <c r="AO36" s="28">
        <f t="shared" si="78"/>
        <v>0</v>
      </c>
      <c r="AP36" s="28">
        <f t="shared" si="79"/>
        <v>0</v>
      </c>
      <c r="AQ36" s="25" t="s">
        <v>9</v>
      </c>
      <c r="AR36" s="14">
        <f t="shared" si="80"/>
        <v>-2291.598</v>
      </c>
      <c r="AS36" s="14">
        <f t="shared" si="85"/>
        <v>2291.598</v>
      </c>
      <c r="AT36" s="28">
        <f t="shared" ca="1" si="81"/>
        <v>0</v>
      </c>
      <c r="AU36" s="28">
        <f t="shared" si="82"/>
        <v>0</v>
      </c>
      <c r="AV36" s="28">
        <f t="shared" ca="1" si="86"/>
        <v>0</v>
      </c>
      <c r="AW36" s="28">
        <f t="shared" si="83"/>
        <v>0</v>
      </c>
      <c r="AX36" s="14">
        <f t="shared" si="88"/>
        <v>33030</v>
      </c>
      <c r="BB36" s="13">
        <v>34</v>
      </c>
      <c r="BC36" s="17">
        <v>17</v>
      </c>
      <c r="BD36" s="18">
        <v>0.36</v>
      </c>
    </row>
    <row r="37" spans="28:56" ht="39.950000000000003" hidden="1" customHeight="1" x14ac:dyDescent="0.25">
      <c r="AB37" s="14">
        <v>7000</v>
      </c>
      <c r="AC37" s="13" t="s">
        <v>0</v>
      </c>
      <c r="AD37" s="13" t="s">
        <v>0</v>
      </c>
      <c r="AE37" s="13" t="s">
        <v>0</v>
      </c>
      <c r="AF37" s="14">
        <f t="shared" si="71"/>
        <v>0</v>
      </c>
      <c r="AG37" s="14">
        <f t="shared" ca="1" si="72"/>
        <v>0</v>
      </c>
      <c r="AH37" s="14">
        <f t="shared" si="73"/>
        <v>14640.75</v>
      </c>
      <c r="AI37" s="14">
        <f t="shared" si="87"/>
        <v>40102.949999999997</v>
      </c>
      <c r="AJ37" s="14">
        <f t="shared" ca="1" si="74"/>
        <v>24579.499084499996</v>
      </c>
      <c r="AK37" s="15">
        <v>30</v>
      </c>
      <c r="AL37" s="14">
        <v>7135.55</v>
      </c>
      <c r="AM37" s="14">
        <f t="shared" ca="1" si="76"/>
        <v>4373.4499504999994</v>
      </c>
      <c r="AN37" s="28">
        <f t="shared" ca="1" si="77"/>
        <v>0</v>
      </c>
      <c r="AO37" s="28">
        <f t="shared" si="78"/>
        <v>0</v>
      </c>
      <c r="AP37" s="28">
        <f t="shared" si="79"/>
        <v>0</v>
      </c>
      <c r="AQ37" s="25" t="s">
        <v>9</v>
      </c>
      <c r="AR37" s="14">
        <f t="shared" si="80"/>
        <v>-2635.335</v>
      </c>
      <c r="AS37" s="14">
        <f t="shared" si="85"/>
        <v>2635.335</v>
      </c>
      <c r="AT37" s="28">
        <f t="shared" ca="1" si="81"/>
        <v>0</v>
      </c>
      <c r="AU37" s="28">
        <f t="shared" si="82"/>
        <v>0</v>
      </c>
      <c r="AV37" s="28">
        <f t="shared" ca="1" si="86"/>
        <v>0</v>
      </c>
      <c r="AW37" s="28">
        <f t="shared" si="83"/>
        <v>0</v>
      </c>
      <c r="AX37" s="14">
        <f t="shared" si="88"/>
        <v>33030</v>
      </c>
      <c r="BB37" s="13">
        <v>35</v>
      </c>
      <c r="BC37" s="17">
        <v>17.5</v>
      </c>
      <c r="BD37" s="18">
        <v>0.37</v>
      </c>
    </row>
    <row r="38" spans="28:56" ht="39.950000000000003" hidden="1" customHeight="1" x14ac:dyDescent="0.25">
      <c r="AB38" s="14">
        <v>3000</v>
      </c>
      <c r="AC38" s="13" t="s">
        <v>0</v>
      </c>
      <c r="AD38" s="13" t="s">
        <v>0</v>
      </c>
      <c r="AE38" s="13" t="s">
        <v>0</v>
      </c>
      <c r="AF38" s="14">
        <f t="shared" si="71"/>
        <v>0</v>
      </c>
      <c r="AG38" s="14">
        <f t="shared" ca="1" si="72"/>
        <v>0</v>
      </c>
      <c r="AH38" s="14">
        <f t="shared" si="73"/>
        <v>14640.75</v>
      </c>
      <c r="AI38" s="14">
        <f>(0)</f>
        <v>0</v>
      </c>
      <c r="AJ38" s="14">
        <f t="shared" ca="1" si="74"/>
        <v>0</v>
      </c>
      <c r="AK38" s="15">
        <v>30</v>
      </c>
      <c r="AL38" s="14">
        <v>7135.55</v>
      </c>
      <c r="AM38" s="14">
        <f t="shared" ca="1" si="76"/>
        <v>4373.4499504999994</v>
      </c>
      <c r="AN38" s="28">
        <f t="shared" ca="1" si="77"/>
        <v>0</v>
      </c>
      <c r="AO38" s="28">
        <f t="shared" si="78"/>
        <v>0</v>
      </c>
      <c r="AP38" s="28">
        <f t="shared" si="79"/>
        <v>0</v>
      </c>
      <c r="AQ38" s="25" t="s">
        <v>9</v>
      </c>
      <c r="AR38" s="14">
        <f t="shared" si="80"/>
        <v>-2635.335</v>
      </c>
      <c r="AS38" s="14">
        <f t="shared" si="85"/>
        <v>2635.335</v>
      </c>
      <c r="AT38" s="28">
        <f t="shared" ca="1" si="81"/>
        <v>0</v>
      </c>
      <c r="AU38" s="28">
        <f t="shared" si="82"/>
        <v>0</v>
      </c>
      <c r="AV38" s="28">
        <f t="shared" ca="1" si="86"/>
        <v>0</v>
      </c>
      <c r="AW38" s="28">
        <f t="shared" si="83"/>
        <v>0</v>
      </c>
      <c r="AX38" s="14">
        <f t="shared" si="88"/>
        <v>33030</v>
      </c>
      <c r="BB38" s="13">
        <v>36</v>
      </c>
      <c r="BC38" s="17">
        <v>18</v>
      </c>
      <c r="BD38" s="18">
        <v>0.38</v>
      </c>
    </row>
    <row r="39" spans="28:56" ht="39.950000000000003" hidden="1" customHeight="1" x14ac:dyDescent="0.25">
      <c r="AB39" s="13" t="s">
        <v>1</v>
      </c>
      <c r="AC39" s="13" t="s">
        <v>62</v>
      </c>
      <c r="AF39" s="14">
        <f t="shared" si="71"/>
        <v>0</v>
      </c>
      <c r="AG39" s="14">
        <f t="shared" ca="1" si="72"/>
        <v>0</v>
      </c>
      <c r="AH39" s="14">
        <f t="shared" si="73"/>
        <v>14640.75</v>
      </c>
      <c r="AI39" s="14">
        <f>(0)</f>
        <v>0</v>
      </c>
      <c r="AJ39" s="14">
        <f t="shared" ca="1" si="74"/>
        <v>0</v>
      </c>
      <c r="AK39" s="15">
        <v>30</v>
      </c>
      <c r="AL39" s="14">
        <v>7135.55</v>
      </c>
      <c r="AM39" s="14">
        <f t="shared" ca="1" si="76"/>
        <v>4373.4499504999994</v>
      </c>
      <c r="AN39" s="28">
        <f t="shared" ca="1" si="77"/>
        <v>0</v>
      </c>
      <c r="AO39" s="28">
        <f t="shared" si="78"/>
        <v>0</v>
      </c>
      <c r="AP39" s="28">
        <f t="shared" si="79"/>
        <v>0</v>
      </c>
      <c r="AQ39" s="25" t="s">
        <v>9</v>
      </c>
      <c r="AR39" s="14">
        <f t="shared" si="80"/>
        <v>-2635.335</v>
      </c>
      <c r="AS39" s="14">
        <f t="shared" si="85"/>
        <v>2635.335</v>
      </c>
      <c r="AT39" s="28">
        <f t="shared" ca="1" si="81"/>
        <v>0</v>
      </c>
      <c r="AU39" s="28">
        <f t="shared" si="82"/>
        <v>0</v>
      </c>
      <c r="AV39" s="28">
        <f t="shared" ca="1" si="86"/>
        <v>0</v>
      </c>
      <c r="AW39" s="28">
        <f t="shared" si="83"/>
        <v>0</v>
      </c>
      <c r="AX39" s="14">
        <f t="shared" si="88"/>
        <v>33030</v>
      </c>
      <c r="BB39" s="13">
        <v>37</v>
      </c>
      <c r="BC39" s="17">
        <v>18.5</v>
      </c>
      <c r="BD39" s="18">
        <v>0.39</v>
      </c>
    </row>
    <row r="40" spans="28:56" ht="39.950000000000003" hidden="1" customHeight="1" x14ac:dyDescent="0.25">
      <c r="AB40" s="25" t="s">
        <v>40</v>
      </c>
      <c r="AC40" s="28">
        <v>2209.5100000000002</v>
      </c>
      <c r="AF40" s="14">
        <f t="shared" si="71"/>
        <v>0</v>
      </c>
      <c r="AG40" s="14">
        <f t="shared" ca="1" si="72"/>
        <v>0</v>
      </c>
      <c r="AH40" s="14">
        <f t="shared" si="73"/>
        <v>14640.75</v>
      </c>
      <c r="AI40" s="14">
        <f t="shared" si="87"/>
        <v>43922.25</v>
      </c>
      <c r="AJ40" s="14">
        <f t="shared" ca="1" si="74"/>
        <v>26920.386247499999</v>
      </c>
      <c r="AK40" s="15">
        <v>30</v>
      </c>
      <c r="AL40" s="14">
        <v>7135.55</v>
      </c>
      <c r="AM40" s="14">
        <f t="shared" ca="1" si="76"/>
        <v>4373.4499504999994</v>
      </c>
      <c r="AN40" s="28">
        <f t="shared" ca="1" si="77"/>
        <v>0</v>
      </c>
      <c r="AO40" s="28">
        <f t="shared" si="78"/>
        <v>0</v>
      </c>
      <c r="AP40" s="28">
        <f t="shared" si="79"/>
        <v>0</v>
      </c>
      <c r="AQ40" s="25" t="s">
        <v>9</v>
      </c>
      <c r="AR40" s="14">
        <f t="shared" si="80"/>
        <v>-2635.335</v>
      </c>
      <c r="AS40" s="14">
        <f t="shared" si="85"/>
        <v>2635.335</v>
      </c>
      <c r="AT40" s="28">
        <f t="shared" ca="1" si="81"/>
        <v>0</v>
      </c>
      <c r="AU40" s="28">
        <f t="shared" si="82"/>
        <v>0</v>
      </c>
      <c r="AV40" s="28">
        <f t="shared" ca="1" si="86"/>
        <v>0</v>
      </c>
      <c r="AW40" s="28">
        <f t="shared" si="83"/>
        <v>0</v>
      </c>
      <c r="AX40" s="14">
        <f t="shared" si="88"/>
        <v>33030</v>
      </c>
      <c r="BB40" s="13">
        <v>38</v>
      </c>
      <c r="BC40" s="17">
        <v>19</v>
      </c>
      <c r="BD40" s="18">
        <v>0.4</v>
      </c>
    </row>
    <row r="41" spans="28:56" ht="39.950000000000003" hidden="1" customHeight="1" x14ac:dyDescent="0.25">
      <c r="AB41" s="25" t="s">
        <v>48</v>
      </c>
      <c r="AC41" s="28">
        <v>5070.24</v>
      </c>
      <c r="AF41" s="14">
        <f t="shared" ref="AF41:AG41" si="89">(AF29+AF30+AF31+AF32+AF33+AF34+AF35+AF36+AF37+AF38+AF39+AF40)</f>
        <v>0</v>
      </c>
      <c r="AG41" s="14">
        <f t="shared" ca="1" si="89"/>
        <v>0</v>
      </c>
      <c r="AH41" s="14">
        <f t="shared" ref="AH41:AI41" si="90">(AH29+AH30+AH31+AH32+AH33+AH34+AH35+AH36+AH37+AH38+AH39+AH40)</f>
        <v>156474.80000000002</v>
      </c>
      <c r="AI41" s="14">
        <f t="shared" si="90"/>
        <v>156474.79999999999</v>
      </c>
      <c r="AJ41" s="14">
        <f ca="1">(AJ29+AJ30+AJ31+AJ32+AJ33+AJ34+AJ35+AJ36+AJ37+AJ38+AJ39+AJ40)</f>
        <v>99349.529411827069</v>
      </c>
      <c r="AK41" s="15">
        <f>(AK29+AK30+AK31+AK32+AK33+AK34+AK35+AK36+AK37+AK38+AK39+AK40)</f>
        <v>360</v>
      </c>
      <c r="AL41" s="14">
        <f t="shared" ref="AL41:AM41" si="91">(AL29+AL30+AL31+AL32+AL33+AL34+AL35+AL36+AL37+AL38+AL39+AL40)</f>
        <v>83627.500000000015</v>
      </c>
      <c r="AM41" s="14">
        <f t="shared" ca="1" si="91"/>
        <v>54063.841993525748</v>
      </c>
      <c r="AN41" s="14">
        <f t="shared" ref="AN41" ca="1" si="92">(AN29+AN30+AN31+AN32+AN33+AN34+AN35+AN36+AN37+AN38+AN39+AN40)</f>
        <v>4291.4492733351044</v>
      </c>
      <c r="AO41" s="14">
        <f t="shared" ref="AO41" si="93">(AO29+AO30+AO31+AO32+AO33+AO34+AO35+AO36+AO37+AO38+AO39+AO40)</f>
        <v>0</v>
      </c>
      <c r="AP41" s="14">
        <f t="shared" ref="AP41" si="94">(AP29+AP30+AP31+AP32+AP33+AP34+AP35+AP36+AP37+AP38+AP39+AP40)</f>
        <v>3068</v>
      </c>
      <c r="AQ41" s="19" t="s">
        <v>0</v>
      </c>
      <c r="AR41" s="14">
        <f t="shared" ref="AR41:AS41" si="95">(AR29+AR30+AR31+AR32+AR33+AR34+AR35+AR36+AR37+AR38+AR39+AR40)</f>
        <v>-28165.463999999996</v>
      </c>
      <c r="AS41" s="14">
        <f t="shared" si="95"/>
        <v>28165.463999999996</v>
      </c>
      <c r="AT41" s="14">
        <f t="shared" ref="AT41:AV41" ca="1" si="96">(AT29+AT30+AT31+AT32+AT33+AT34+AT35+AT36+AT37+AT38+AT39+AT40)</f>
        <v>0</v>
      </c>
      <c r="AU41" s="14">
        <f t="shared" si="96"/>
        <v>0</v>
      </c>
      <c r="AV41" s="14">
        <f t="shared" ca="1" si="96"/>
        <v>0</v>
      </c>
      <c r="AW41" s="14">
        <f t="shared" ref="AW41" si="97">(AW29+AW30+AW31+AW32+AW33+AW34+AW35+AW36+AW37+AW38+AW39+AW40)</f>
        <v>0</v>
      </c>
      <c r="AX41" s="14">
        <f t="shared" ref="AX41" si="98">(AX29+AX30+AX31+AX32+AX33+AX34+AX35+AX36+AX37+AX38+AX39+AX40)</f>
        <v>396360</v>
      </c>
      <c r="BB41" s="13">
        <v>39</v>
      </c>
      <c r="BC41" s="17">
        <v>19.5</v>
      </c>
      <c r="BD41" s="18">
        <v>0.41</v>
      </c>
    </row>
    <row r="42" spans="28:56" ht="39.950000000000003" hidden="1" customHeight="1" x14ac:dyDescent="0.25">
      <c r="AB42" s="25" t="s">
        <v>49</v>
      </c>
      <c r="AC42" s="28">
        <v>5070.24</v>
      </c>
      <c r="AF42" s="14">
        <f t="shared" ref="AF42:AG42" si="99">(AF41/12)</f>
        <v>0</v>
      </c>
      <c r="AG42" s="14">
        <f t="shared" ca="1" si="99"/>
        <v>0</v>
      </c>
      <c r="AH42" s="14">
        <f t="shared" ref="AH42:AI42" si="100">(AH41/12)</f>
        <v>13039.566666666668</v>
      </c>
      <c r="AI42" s="14">
        <f t="shared" si="100"/>
        <v>13039.566666666666</v>
      </c>
      <c r="AJ42" s="14">
        <f ca="1">(AJ41/12)</f>
        <v>8279.1274509855884</v>
      </c>
      <c r="AK42" s="19" t="s">
        <v>0</v>
      </c>
      <c r="AL42" s="14">
        <f t="shared" ref="AL42:AM42" si="101">(AL41/12)</f>
        <v>6968.9583333333348</v>
      </c>
      <c r="AM42" s="14">
        <f t="shared" ca="1" si="101"/>
        <v>4505.320166127146</v>
      </c>
      <c r="AN42" s="14">
        <f t="shared" ref="AN42" ca="1" si="102">AN41/12</f>
        <v>357.62077277792537</v>
      </c>
      <c r="AO42" s="14">
        <f t="shared" ref="AO42" si="103">AO41/12</f>
        <v>0</v>
      </c>
      <c r="AP42" s="14">
        <f t="shared" ref="AP42" si="104">AP41/12</f>
        <v>255.66666666666666</v>
      </c>
      <c r="AQ42" s="19" t="s">
        <v>0</v>
      </c>
      <c r="AR42" s="14">
        <f t="shared" ref="AR42:AS42" si="105">(AR41/12)</f>
        <v>-2347.1219999999998</v>
      </c>
      <c r="AS42" s="14">
        <f t="shared" si="105"/>
        <v>2347.1219999999998</v>
      </c>
      <c r="AT42" s="14">
        <f t="shared" ref="AT42:AV42" ca="1" si="106">(AT41/12)</f>
        <v>0</v>
      </c>
      <c r="AU42" s="14">
        <f t="shared" si="106"/>
        <v>0</v>
      </c>
      <c r="AV42" s="14">
        <f t="shared" ca="1" si="106"/>
        <v>0</v>
      </c>
      <c r="AW42" s="14">
        <f t="shared" ref="AW42" si="107">(AW41/12)</f>
        <v>0</v>
      </c>
      <c r="AX42" s="14">
        <f t="shared" ref="AX42" si="108">(AX41/12)</f>
        <v>33030</v>
      </c>
      <c r="BB42" s="13">
        <v>40</v>
      </c>
      <c r="BC42" s="17">
        <v>20</v>
      </c>
      <c r="BD42" s="18">
        <v>0.42</v>
      </c>
    </row>
    <row r="43" spans="28:56" ht="39.950000000000003" hidden="1" customHeight="1" x14ac:dyDescent="0.25">
      <c r="AB43" s="25" t="s">
        <v>50</v>
      </c>
      <c r="AC43" s="28">
        <v>23258</v>
      </c>
      <c r="AT43" s="14">
        <f>(0)</f>
        <v>0</v>
      </c>
      <c r="AU43" s="29">
        <f>(0%)</f>
        <v>0</v>
      </c>
      <c r="BB43" s="13">
        <v>41</v>
      </c>
      <c r="BC43" s="17">
        <v>20.5</v>
      </c>
      <c r="BD43" s="18">
        <v>0.43</v>
      </c>
    </row>
    <row r="44" spans="28:56" ht="39.950000000000003" hidden="1" customHeight="1" x14ac:dyDescent="0.25">
      <c r="AB44" s="25" t="s">
        <v>51</v>
      </c>
      <c r="AC44" s="28">
        <v>23258</v>
      </c>
      <c r="AD44" s="14">
        <f t="shared" ref="AD44:AD55" si="109">(AX29)</f>
        <v>33030</v>
      </c>
      <c r="AE44" s="14">
        <f t="shared" ref="AE44:AE55" si="110">(AX29-AD44)</f>
        <v>0</v>
      </c>
      <c r="AF44" s="14">
        <f t="shared" ref="AF44:AF55" si="111">(AE44*0.00759*-1)</f>
        <v>0</v>
      </c>
      <c r="AG44" s="14">
        <f t="shared" ref="AG44:AG55" si="112">(AX29*0.00759)</f>
        <v>250.69770000000003</v>
      </c>
      <c r="AH44" s="14">
        <f t="shared" ref="AH44:AH55" si="113">(AX29)</f>
        <v>33030</v>
      </c>
      <c r="AI44" s="14">
        <f>(0)</f>
        <v>0</v>
      </c>
      <c r="AJ44" s="14">
        <f>(AH44-AI44)</f>
        <v>33030</v>
      </c>
      <c r="AK44" s="14">
        <f>(AJ44*0.14*-1)</f>
        <v>-4624.2000000000007</v>
      </c>
      <c r="AL44" s="14">
        <f>(AJ44*0.01*-1)</f>
        <v>-330.3</v>
      </c>
      <c r="AM44" s="30">
        <v>0.15</v>
      </c>
      <c r="AN44" s="14">
        <v>0</v>
      </c>
      <c r="AO44" s="14">
        <v>190000</v>
      </c>
      <c r="AP44" s="14">
        <v>0</v>
      </c>
      <c r="AQ44" s="14">
        <f t="shared" ref="AQ44:AQ55" si="114">(AX29+AK44+AL44)</f>
        <v>28075.5</v>
      </c>
      <c r="AR44" s="14">
        <f>(0)</f>
        <v>0</v>
      </c>
      <c r="AS44" s="14">
        <f>(AQ44-AR44)</f>
        <v>28075.5</v>
      </c>
      <c r="AT44" s="14">
        <f>SUM(AS$44:$AS44)</f>
        <v>28075.5</v>
      </c>
      <c r="AU44" s="29">
        <f t="shared" ref="AU44:AU55" si="115">IF(AT44&lt;=$AO$44,$AM$44,
IF(AT44&gt;$AO$46,
IF(AT44&gt;$AO$47,$AM$48,$AM$47),
IF(AT44&lt;$AO$45,$AM$45,$AM$46)))</f>
        <v>0.15</v>
      </c>
      <c r="AV44" s="25">
        <f>IF(AU44-AU43=0,0,1)</f>
        <v>1</v>
      </c>
      <c r="AW44" s="31">
        <f t="shared" ref="AW44:AW55" si="116">IF(AV44=0,AU44,(VLOOKUP($AU44,$AM$44:$AP$48,2,0)-AT43)/AS44*AU43+(AT44-VLOOKUP($AU44,$AM$44:$AP$48,2,0))/AS44*AU44)</f>
        <v>0.15</v>
      </c>
      <c r="AX44" s="14">
        <f>(ROUND(AS44*AW44,2)+VLOOKUP(AU44,$AM$44:$AP$48,4,0))</f>
        <v>4211.33</v>
      </c>
      <c r="AY44" s="31">
        <f>(100+(100*0.00759*-1)+(100*0.01*-1)+(100*0.01*-1)+(100+100*0.14*-1+100*0.01*-1)*AW44*-1)/100</f>
        <v>0.84491000000000005</v>
      </c>
      <c r="AZ44" s="14">
        <f t="shared" ref="AZ44:AZ55" si="117">AX29</f>
        <v>33030</v>
      </c>
      <c r="BA44" s="14">
        <f t="shared" ref="BA44:BA55" si="118">AX29+AF44+AK44+AL44</f>
        <v>28075.5</v>
      </c>
      <c r="BB44" s="13">
        <v>42</v>
      </c>
      <c r="BC44" s="17">
        <v>21</v>
      </c>
      <c r="BD44" s="18">
        <v>0.44</v>
      </c>
    </row>
    <row r="45" spans="28:56" ht="39.950000000000003" hidden="1" customHeight="1" x14ac:dyDescent="0.25">
      <c r="AB45" s="25" t="s">
        <v>2</v>
      </c>
      <c r="AC45" s="28">
        <v>13954.8</v>
      </c>
      <c r="AD45" s="14">
        <f t="shared" si="109"/>
        <v>33030</v>
      </c>
      <c r="AE45" s="14">
        <f t="shared" si="110"/>
        <v>0</v>
      </c>
      <c r="AF45" s="14">
        <f t="shared" si="111"/>
        <v>0</v>
      </c>
      <c r="AG45" s="14">
        <f t="shared" si="112"/>
        <v>250.69770000000003</v>
      </c>
      <c r="AH45" s="14">
        <f t="shared" si="113"/>
        <v>33030</v>
      </c>
      <c r="AI45" s="14">
        <f>(0)</f>
        <v>0</v>
      </c>
      <c r="AJ45" s="14">
        <f t="shared" ref="AJ45:AJ55" si="119">(AH45-AI45)</f>
        <v>33030</v>
      </c>
      <c r="AK45" s="14">
        <f t="shared" ref="AK45:AK55" si="120">(AJ45*0.14*-1)</f>
        <v>-4624.2000000000007</v>
      </c>
      <c r="AL45" s="14">
        <f t="shared" ref="AL45:AL55" si="121">(AJ45*0.01*-1)</f>
        <v>-330.3</v>
      </c>
      <c r="AM45" s="30">
        <v>0.2</v>
      </c>
      <c r="AN45" s="14">
        <f>$AO$44</f>
        <v>190000</v>
      </c>
      <c r="AO45" s="14">
        <v>400000</v>
      </c>
      <c r="AP45" s="14">
        <f>(AO44-AN44)*AM44+AP44</f>
        <v>28500</v>
      </c>
      <c r="AQ45" s="14">
        <f t="shared" si="114"/>
        <v>28075.5</v>
      </c>
      <c r="AR45" s="14">
        <f>(0)</f>
        <v>0</v>
      </c>
      <c r="AS45" s="14">
        <f t="shared" ref="AS45:AS55" si="122">(AQ45-AR45)</f>
        <v>28075.5</v>
      </c>
      <c r="AT45" s="14">
        <f>SUM(AS$44:$AS45)</f>
        <v>56151</v>
      </c>
      <c r="AU45" s="29">
        <f t="shared" si="115"/>
        <v>0.15</v>
      </c>
      <c r="AV45" s="25">
        <f t="shared" ref="AV45:AV55" si="123">IF(AU45-AU44=0,0,1)</f>
        <v>0</v>
      </c>
      <c r="AW45" s="31">
        <f t="shared" si="116"/>
        <v>0.15</v>
      </c>
      <c r="AX45" s="14">
        <f>(ROUND(AS45*AW45,2))</f>
        <v>4211.33</v>
      </c>
      <c r="AY45" s="31">
        <f t="shared" ref="AY45:AY55" si="124">(100+(100*0.00759*-1)+(100*0.01*-1)+(100*0.01*-1)+(100+100*0.14*-1+100*0.01*-1)*AW45*-1)/100</f>
        <v>0.84491000000000005</v>
      </c>
      <c r="AZ45" s="14">
        <f t="shared" si="117"/>
        <v>33030</v>
      </c>
      <c r="BA45" s="14">
        <f t="shared" si="118"/>
        <v>28075.5</v>
      </c>
      <c r="BB45" s="13">
        <v>43</v>
      </c>
      <c r="BC45" s="17">
        <v>21.5</v>
      </c>
      <c r="BD45" s="18">
        <v>0.45</v>
      </c>
    </row>
    <row r="46" spans="28:56" ht="39.950000000000003" hidden="1" customHeight="1" x14ac:dyDescent="0.25">
      <c r="AB46" s="25" t="s">
        <v>54</v>
      </c>
      <c r="AC46" s="28">
        <v>3363.11</v>
      </c>
      <c r="AD46" s="14">
        <f t="shared" si="109"/>
        <v>33030</v>
      </c>
      <c r="AE46" s="14">
        <f t="shared" si="110"/>
        <v>0</v>
      </c>
      <c r="AF46" s="14">
        <f t="shared" si="111"/>
        <v>0</v>
      </c>
      <c r="AG46" s="14">
        <f t="shared" si="112"/>
        <v>250.69770000000003</v>
      </c>
      <c r="AH46" s="14">
        <f t="shared" si="113"/>
        <v>33030</v>
      </c>
      <c r="AI46" s="14">
        <f>(0)</f>
        <v>0</v>
      </c>
      <c r="AJ46" s="14">
        <f t="shared" si="119"/>
        <v>33030</v>
      </c>
      <c r="AK46" s="14">
        <f t="shared" si="120"/>
        <v>-4624.2000000000007</v>
      </c>
      <c r="AL46" s="14">
        <f t="shared" si="121"/>
        <v>-330.3</v>
      </c>
      <c r="AM46" s="30">
        <v>0.27</v>
      </c>
      <c r="AN46" s="14">
        <f>$AO$45</f>
        <v>400000</v>
      </c>
      <c r="AO46" s="14">
        <v>1500000</v>
      </c>
      <c r="AP46" s="14">
        <f>(AO45-AN45)*AM45+AP45</f>
        <v>70500</v>
      </c>
      <c r="AQ46" s="14">
        <f t="shared" si="114"/>
        <v>28075.5</v>
      </c>
      <c r="AR46" s="14">
        <f>(0)</f>
        <v>0</v>
      </c>
      <c r="AS46" s="14">
        <f t="shared" si="122"/>
        <v>28075.5</v>
      </c>
      <c r="AT46" s="14">
        <f>SUM(AS$44:$AS46)</f>
        <v>84226.5</v>
      </c>
      <c r="AU46" s="29">
        <f t="shared" si="115"/>
        <v>0.15</v>
      </c>
      <c r="AV46" s="25">
        <f t="shared" si="123"/>
        <v>0</v>
      </c>
      <c r="AW46" s="31">
        <f t="shared" si="116"/>
        <v>0.15</v>
      </c>
      <c r="AX46" s="14">
        <f t="shared" ref="AX46:AX55" si="125">(ROUND(AS46*AW46,2))</f>
        <v>4211.33</v>
      </c>
      <c r="AY46" s="31">
        <f t="shared" si="124"/>
        <v>0.84491000000000005</v>
      </c>
      <c r="AZ46" s="14">
        <f t="shared" si="117"/>
        <v>33030</v>
      </c>
      <c r="BA46" s="14">
        <f t="shared" si="118"/>
        <v>28075.5</v>
      </c>
      <c r="BB46" s="13">
        <v>44</v>
      </c>
      <c r="BC46" s="17">
        <v>22</v>
      </c>
      <c r="BD46" s="18">
        <v>0.46</v>
      </c>
    </row>
    <row r="47" spans="28:56" ht="39.950000000000003" hidden="1" customHeight="1" x14ac:dyDescent="0.25">
      <c r="AB47" s="25" t="s">
        <v>55</v>
      </c>
      <c r="AC47" s="28">
        <v>3363.11</v>
      </c>
      <c r="AD47" s="14">
        <f t="shared" si="109"/>
        <v>33030</v>
      </c>
      <c r="AE47" s="14">
        <f t="shared" si="110"/>
        <v>0</v>
      </c>
      <c r="AF47" s="14">
        <f t="shared" si="111"/>
        <v>0</v>
      </c>
      <c r="AG47" s="14">
        <f t="shared" si="112"/>
        <v>250.69770000000003</v>
      </c>
      <c r="AH47" s="14">
        <f t="shared" si="113"/>
        <v>33030</v>
      </c>
      <c r="AI47" s="14">
        <f>(0)</f>
        <v>0</v>
      </c>
      <c r="AJ47" s="14">
        <f t="shared" si="119"/>
        <v>33030</v>
      </c>
      <c r="AK47" s="14">
        <f t="shared" si="120"/>
        <v>-4624.2000000000007</v>
      </c>
      <c r="AL47" s="14">
        <f t="shared" si="121"/>
        <v>-330.3</v>
      </c>
      <c r="AM47" s="30">
        <v>0.35</v>
      </c>
      <c r="AN47" s="14">
        <f>$AO$46</f>
        <v>1500000</v>
      </c>
      <c r="AO47" s="14">
        <v>5300000</v>
      </c>
      <c r="AP47" s="14">
        <f>(AO46-AN46)*AM46+AP46</f>
        <v>367500</v>
      </c>
      <c r="AQ47" s="14">
        <f t="shared" si="114"/>
        <v>28075.5</v>
      </c>
      <c r="AR47" s="14">
        <f>(0)</f>
        <v>0</v>
      </c>
      <c r="AS47" s="14">
        <f t="shared" si="122"/>
        <v>28075.5</v>
      </c>
      <c r="AT47" s="14">
        <f>SUM(AS$44:$AS47)</f>
        <v>112302</v>
      </c>
      <c r="AU47" s="29">
        <f t="shared" si="115"/>
        <v>0.15</v>
      </c>
      <c r="AV47" s="25">
        <f t="shared" si="123"/>
        <v>0</v>
      </c>
      <c r="AW47" s="31">
        <f t="shared" si="116"/>
        <v>0.15</v>
      </c>
      <c r="AX47" s="14">
        <f t="shared" si="125"/>
        <v>4211.33</v>
      </c>
      <c r="AY47" s="31">
        <f t="shared" si="124"/>
        <v>0.84491000000000005</v>
      </c>
      <c r="AZ47" s="14">
        <f t="shared" si="117"/>
        <v>33030</v>
      </c>
      <c r="BA47" s="14">
        <f t="shared" si="118"/>
        <v>28075.5</v>
      </c>
      <c r="BB47" s="13">
        <v>45</v>
      </c>
      <c r="BC47" s="17">
        <v>22.5</v>
      </c>
      <c r="BD47" s="18">
        <v>0.47</v>
      </c>
    </row>
    <row r="48" spans="28:56" ht="39.950000000000003" hidden="1" customHeight="1" x14ac:dyDescent="0.25">
      <c r="AB48" s="25" t="s">
        <v>56</v>
      </c>
      <c r="AC48" s="28">
        <v>4213.1899999999996</v>
      </c>
      <c r="AD48" s="14">
        <f t="shared" si="109"/>
        <v>33030</v>
      </c>
      <c r="AE48" s="14">
        <f t="shared" si="110"/>
        <v>0</v>
      </c>
      <c r="AF48" s="14">
        <f t="shared" si="111"/>
        <v>0</v>
      </c>
      <c r="AG48" s="14">
        <f t="shared" si="112"/>
        <v>250.69770000000003</v>
      </c>
      <c r="AH48" s="14">
        <f t="shared" si="113"/>
        <v>33030</v>
      </c>
      <c r="AI48" s="14">
        <f>(0)</f>
        <v>0</v>
      </c>
      <c r="AJ48" s="14">
        <f t="shared" si="119"/>
        <v>33030</v>
      </c>
      <c r="AK48" s="14">
        <f t="shared" si="120"/>
        <v>-4624.2000000000007</v>
      </c>
      <c r="AL48" s="14">
        <f t="shared" si="121"/>
        <v>-330.3</v>
      </c>
      <c r="AM48" s="30">
        <v>0.4</v>
      </c>
      <c r="AN48" s="32">
        <f>$AO$47</f>
        <v>5300000</v>
      </c>
      <c r="AO48" s="14">
        <v>999999999</v>
      </c>
      <c r="AP48" s="14">
        <f>(AO47-AN47)*AM47+AP47</f>
        <v>1697500</v>
      </c>
      <c r="AQ48" s="14">
        <f t="shared" si="114"/>
        <v>28075.5</v>
      </c>
      <c r="AR48" s="14">
        <f>(0)</f>
        <v>0</v>
      </c>
      <c r="AS48" s="14">
        <f t="shared" si="122"/>
        <v>28075.5</v>
      </c>
      <c r="AT48" s="14">
        <f>SUM(AS$44:$AS48)</f>
        <v>140377.5</v>
      </c>
      <c r="AU48" s="29">
        <f t="shared" si="115"/>
        <v>0.15</v>
      </c>
      <c r="AV48" s="25">
        <f t="shared" si="123"/>
        <v>0</v>
      </c>
      <c r="AW48" s="31">
        <f t="shared" si="116"/>
        <v>0.15</v>
      </c>
      <c r="AX48" s="14">
        <f t="shared" si="125"/>
        <v>4211.33</v>
      </c>
      <c r="AY48" s="31">
        <f t="shared" si="124"/>
        <v>0.84491000000000005</v>
      </c>
      <c r="AZ48" s="14">
        <f t="shared" si="117"/>
        <v>33030</v>
      </c>
      <c r="BA48" s="14">
        <f t="shared" si="118"/>
        <v>28075.5</v>
      </c>
      <c r="BB48" s="13">
        <v>46</v>
      </c>
      <c r="BC48" s="17">
        <v>23</v>
      </c>
      <c r="BD48" s="18">
        <v>0.48</v>
      </c>
    </row>
    <row r="49" spans="28:56" ht="39.950000000000003" hidden="1" customHeight="1" x14ac:dyDescent="0.25">
      <c r="AB49" s="25" t="s">
        <v>57</v>
      </c>
      <c r="AC49" s="28">
        <v>6305.24</v>
      </c>
      <c r="AD49" s="14">
        <f t="shared" si="109"/>
        <v>33030</v>
      </c>
      <c r="AE49" s="14">
        <f t="shared" si="110"/>
        <v>0</v>
      </c>
      <c r="AF49" s="14">
        <f t="shared" si="111"/>
        <v>0</v>
      </c>
      <c r="AG49" s="14">
        <f t="shared" si="112"/>
        <v>250.69770000000003</v>
      </c>
      <c r="AH49" s="14">
        <f t="shared" si="113"/>
        <v>33030</v>
      </c>
      <c r="AI49" s="14">
        <f>(0)</f>
        <v>0</v>
      </c>
      <c r="AJ49" s="14">
        <f t="shared" si="119"/>
        <v>33030</v>
      </c>
      <c r="AK49" s="14">
        <f t="shared" si="120"/>
        <v>-4624.2000000000007</v>
      </c>
      <c r="AL49" s="14">
        <f t="shared" si="121"/>
        <v>-330.3</v>
      </c>
      <c r="AM49" s="14" t="s">
        <v>0</v>
      </c>
      <c r="AN49" s="14" t="s">
        <v>0</v>
      </c>
      <c r="AO49" s="14" t="s">
        <v>0</v>
      </c>
      <c r="AP49" s="14" t="s">
        <v>0</v>
      </c>
      <c r="AQ49" s="14">
        <f t="shared" si="114"/>
        <v>28075.5</v>
      </c>
      <c r="AR49" s="14">
        <f>(0)</f>
        <v>0</v>
      </c>
      <c r="AS49" s="14">
        <f t="shared" si="122"/>
        <v>28075.5</v>
      </c>
      <c r="AT49" s="14">
        <f>SUM(AS$44:$AS49)</f>
        <v>168453</v>
      </c>
      <c r="AU49" s="29">
        <f t="shared" si="115"/>
        <v>0.15</v>
      </c>
      <c r="AV49" s="25">
        <f t="shared" si="123"/>
        <v>0</v>
      </c>
      <c r="AW49" s="31">
        <f t="shared" si="116"/>
        <v>0.15</v>
      </c>
      <c r="AX49" s="14">
        <f t="shared" si="125"/>
        <v>4211.33</v>
      </c>
      <c r="AY49" s="31">
        <f t="shared" si="124"/>
        <v>0.84491000000000005</v>
      </c>
      <c r="AZ49" s="14">
        <f t="shared" si="117"/>
        <v>33030</v>
      </c>
      <c r="BA49" s="14">
        <f t="shared" si="118"/>
        <v>28075.5</v>
      </c>
      <c r="BB49" s="13">
        <v>47</v>
      </c>
      <c r="BC49" s="17">
        <v>23.5</v>
      </c>
      <c r="BD49" s="18">
        <v>0.49</v>
      </c>
    </row>
    <row r="50" spans="28:56" ht="39.950000000000003" hidden="1" customHeight="1" x14ac:dyDescent="0.25">
      <c r="AB50" s="25" t="s">
        <v>52</v>
      </c>
      <c r="AC50" s="28">
        <v>4213.1899999999996</v>
      </c>
      <c r="AD50" s="14">
        <f t="shared" si="109"/>
        <v>33030</v>
      </c>
      <c r="AE50" s="14">
        <f t="shared" si="110"/>
        <v>0</v>
      </c>
      <c r="AF50" s="14">
        <f t="shared" si="111"/>
        <v>0</v>
      </c>
      <c r="AG50" s="14">
        <f t="shared" si="112"/>
        <v>250.69770000000003</v>
      </c>
      <c r="AH50" s="14">
        <f t="shared" si="113"/>
        <v>33030</v>
      </c>
      <c r="AI50" s="14">
        <f>(0)</f>
        <v>0</v>
      </c>
      <c r="AJ50" s="14">
        <f t="shared" si="119"/>
        <v>33030</v>
      </c>
      <c r="AK50" s="14">
        <f t="shared" si="120"/>
        <v>-4624.2000000000007</v>
      </c>
      <c r="AL50" s="14">
        <f t="shared" si="121"/>
        <v>-330.3</v>
      </c>
      <c r="AM50" s="14" t="s">
        <v>0</v>
      </c>
      <c r="AN50" s="14" t="s">
        <v>0</v>
      </c>
      <c r="AO50" s="14" t="s">
        <v>0</v>
      </c>
      <c r="AP50" s="14" t="s">
        <v>0</v>
      </c>
      <c r="AQ50" s="14">
        <f t="shared" si="114"/>
        <v>28075.5</v>
      </c>
      <c r="AR50" s="14">
        <f>(0)</f>
        <v>0</v>
      </c>
      <c r="AS50" s="14">
        <f t="shared" si="122"/>
        <v>28075.5</v>
      </c>
      <c r="AT50" s="14">
        <f>SUM(AS$44:$AS50)</f>
        <v>196528.5</v>
      </c>
      <c r="AU50" s="29">
        <f t="shared" si="115"/>
        <v>0.2</v>
      </c>
      <c r="AV50" s="25">
        <f t="shared" si="123"/>
        <v>1</v>
      </c>
      <c r="AW50" s="31">
        <f t="shared" si="116"/>
        <v>0.16162668518815337</v>
      </c>
      <c r="AX50" s="14">
        <f t="shared" si="125"/>
        <v>4537.75</v>
      </c>
      <c r="AY50" s="31">
        <f t="shared" si="124"/>
        <v>0.83502731759006965</v>
      </c>
      <c r="AZ50" s="14">
        <f t="shared" si="117"/>
        <v>33030</v>
      </c>
      <c r="BA50" s="14">
        <f t="shared" si="118"/>
        <v>28075.5</v>
      </c>
      <c r="BB50" s="13">
        <v>48</v>
      </c>
      <c r="BC50" s="17">
        <v>24</v>
      </c>
      <c r="BD50" s="18">
        <v>0.5</v>
      </c>
    </row>
    <row r="51" spans="28:56" ht="39.950000000000003" hidden="1" customHeight="1" x14ac:dyDescent="0.25">
      <c r="AB51" s="25" t="s">
        <v>53</v>
      </c>
      <c r="AC51" s="28">
        <v>6305.24</v>
      </c>
      <c r="AD51" s="14">
        <f t="shared" si="109"/>
        <v>33030</v>
      </c>
      <c r="AE51" s="14">
        <f t="shared" si="110"/>
        <v>0</v>
      </c>
      <c r="AF51" s="14">
        <f t="shared" si="111"/>
        <v>0</v>
      </c>
      <c r="AG51" s="14">
        <f t="shared" si="112"/>
        <v>250.69770000000003</v>
      </c>
      <c r="AH51" s="14">
        <f t="shared" si="113"/>
        <v>33030</v>
      </c>
      <c r="AI51" s="14">
        <f>(0)</f>
        <v>0</v>
      </c>
      <c r="AJ51" s="14">
        <f t="shared" si="119"/>
        <v>33030</v>
      </c>
      <c r="AK51" s="14">
        <f t="shared" si="120"/>
        <v>-4624.2000000000007</v>
      </c>
      <c r="AL51" s="14">
        <f t="shared" si="121"/>
        <v>-330.3</v>
      </c>
      <c r="AM51" s="14" t="s">
        <v>0</v>
      </c>
      <c r="AN51" s="14" t="s">
        <v>0</v>
      </c>
      <c r="AO51" s="14" t="s">
        <v>0</v>
      </c>
      <c r="AP51" s="14" t="s">
        <v>0</v>
      </c>
      <c r="AQ51" s="14">
        <f t="shared" si="114"/>
        <v>28075.5</v>
      </c>
      <c r="AR51" s="14">
        <f>(0)</f>
        <v>0</v>
      </c>
      <c r="AS51" s="14">
        <f t="shared" si="122"/>
        <v>28075.5</v>
      </c>
      <c r="AT51" s="14">
        <f>SUM(AS$44:$AS51)</f>
        <v>224604</v>
      </c>
      <c r="AU51" s="29">
        <f t="shared" si="115"/>
        <v>0.2</v>
      </c>
      <c r="AV51" s="25">
        <f t="shared" si="123"/>
        <v>0</v>
      </c>
      <c r="AW51" s="31">
        <f t="shared" si="116"/>
        <v>0.2</v>
      </c>
      <c r="AX51" s="14">
        <f t="shared" si="125"/>
        <v>5615.1</v>
      </c>
      <c r="AY51" s="31">
        <f t="shared" si="124"/>
        <v>0.80240999999999996</v>
      </c>
      <c r="AZ51" s="14">
        <f t="shared" si="117"/>
        <v>33030</v>
      </c>
      <c r="BA51" s="14">
        <f t="shared" si="118"/>
        <v>28075.5</v>
      </c>
      <c r="BB51" s="13">
        <v>49</v>
      </c>
      <c r="BC51" s="17">
        <v>24.5</v>
      </c>
      <c r="BD51" s="33" t="s">
        <v>0</v>
      </c>
    </row>
    <row r="52" spans="28:56" ht="39.950000000000003" hidden="1" customHeight="1" x14ac:dyDescent="0.25">
      <c r="AB52" s="25" t="s">
        <v>8</v>
      </c>
      <c r="AC52" s="28">
        <v>5814.5</v>
      </c>
      <c r="AD52" s="14">
        <f t="shared" si="109"/>
        <v>33030</v>
      </c>
      <c r="AE52" s="14">
        <f t="shared" si="110"/>
        <v>0</v>
      </c>
      <c r="AF52" s="14">
        <f t="shared" si="111"/>
        <v>0</v>
      </c>
      <c r="AG52" s="14">
        <f t="shared" si="112"/>
        <v>250.69770000000003</v>
      </c>
      <c r="AH52" s="14">
        <f t="shared" si="113"/>
        <v>33030</v>
      </c>
      <c r="AI52" s="14">
        <f>(0)</f>
        <v>0</v>
      </c>
      <c r="AJ52" s="14">
        <f t="shared" si="119"/>
        <v>33030</v>
      </c>
      <c r="AK52" s="14">
        <f t="shared" si="120"/>
        <v>-4624.2000000000007</v>
      </c>
      <c r="AL52" s="14">
        <f t="shared" si="121"/>
        <v>-330.3</v>
      </c>
      <c r="AM52" s="14" t="s">
        <v>0</v>
      </c>
      <c r="AN52" s="14" t="s">
        <v>0</v>
      </c>
      <c r="AO52" s="14" t="s">
        <v>0</v>
      </c>
      <c r="AP52" s="14" t="s">
        <v>0</v>
      </c>
      <c r="AQ52" s="14">
        <f t="shared" si="114"/>
        <v>28075.5</v>
      </c>
      <c r="AR52" s="14">
        <f>(0)</f>
        <v>0</v>
      </c>
      <c r="AS52" s="14">
        <f t="shared" si="122"/>
        <v>28075.5</v>
      </c>
      <c r="AT52" s="14">
        <f>SUM(AS$44:$AS52)</f>
        <v>252679.5</v>
      </c>
      <c r="AU52" s="29">
        <f t="shared" si="115"/>
        <v>0.2</v>
      </c>
      <c r="AV52" s="25">
        <f t="shared" si="123"/>
        <v>0</v>
      </c>
      <c r="AW52" s="31">
        <f t="shared" si="116"/>
        <v>0.2</v>
      </c>
      <c r="AX52" s="14">
        <f t="shared" si="125"/>
        <v>5615.1</v>
      </c>
      <c r="AY52" s="31">
        <f t="shared" si="124"/>
        <v>0.80240999999999996</v>
      </c>
      <c r="AZ52" s="14">
        <f t="shared" si="117"/>
        <v>33030</v>
      </c>
      <c r="BA52" s="14">
        <f t="shared" si="118"/>
        <v>28075.5</v>
      </c>
      <c r="BB52" s="13">
        <v>50</v>
      </c>
      <c r="BC52" s="17">
        <v>25</v>
      </c>
      <c r="BD52" s="33" t="s">
        <v>0</v>
      </c>
    </row>
    <row r="53" spans="28:56" ht="39.950000000000003" hidden="1" customHeight="1" x14ac:dyDescent="0.25">
      <c r="AB53" s="25" t="s">
        <v>26</v>
      </c>
      <c r="AC53" s="28">
        <v>3068</v>
      </c>
      <c r="AD53" s="14">
        <f t="shared" si="109"/>
        <v>33030</v>
      </c>
      <c r="AE53" s="14">
        <f t="shared" si="110"/>
        <v>0</v>
      </c>
      <c r="AF53" s="14">
        <f t="shared" si="111"/>
        <v>0</v>
      </c>
      <c r="AG53" s="14">
        <f t="shared" si="112"/>
        <v>250.69770000000003</v>
      </c>
      <c r="AH53" s="14">
        <f t="shared" si="113"/>
        <v>33030</v>
      </c>
      <c r="AI53" s="14">
        <f>(0)</f>
        <v>0</v>
      </c>
      <c r="AJ53" s="14">
        <f t="shared" si="119"/>
        <v>33030</v>
      </c>
      <c r="AK53" s="14">
        <f t="shared" si="120"/>
        <v>-4624.2000000000007</v>
      </c>
      <c r="AL53" s="14">
        <f t="shared" si="121"/>
        <v>-330.3</v>
      </c>
      <c r="AM53" s="14" t="s">
        <v>0</v>
      </c>
      <c r="AN53" s="14" t="s">
        <v>0</v>
      </c>
      <c r="AO53" s="14" t="s">
        <v>0</v>
      </c>
      <c r="AP53" s="14" t="s">
        <v>0</v>
      </c>
      <c r="AQ53" s="14">
        <f t="shared" si="114"/>
        <v>28075.5</v>
      </c>
      <c r="AR53" s="14">
        <f>(0)</f>
        <v>0</v>
      </c>
      <c r="AS53" s="14">
        <f t="shared" si="122"/>
        <v>28075.5</v>
      </c>
      <c r="AT53" s="14">
        <f>SUM(AS$44:$AS53)</f>
        <v>280755</v>
      </c>
      <c r="AU53" s="29">
        <f t="shared" si="115"/>
        <v>0.2</v>
      </c>
      <c r="AV53" s="25">
        <f t="shared" si="123"/>
        <v>0</v>
      </c>
      <c r="AW53" s="31">
        <f t="shared" si="116"/>
        <v>0.2</v>
      </c>
      <c r="AX53" s="14">
        <f t="shared" si="125"/>
        <v>5615.1</v>
      </c>
      <c r="AY53" s="31">
        <f t="shared" si="124"/>
        <v>0.80240999999999996</v>
      </c>
      <c r="AZ53" s="14">
        <f t="shared" si="117"/>
        <v>33030</v>
      </c>
      <c r="BA53" s="14">
        <f t="shared" si="118"/>
        <v>28075.5</v>
      </c>
      <c r="BB53" s="13">
        <v>51</v>
      </c>
      <c r="BC53" s="17">
        <v>25.5</v>
      </c>
      <c r="BD53" s="33" t="s">
        <v>0</v>
      </c>
    </row>
    <row r="54" spans="28:56" ht="39.950000000000003" hidden="1" customHeight="1" x14ac:dyDescent="0.25">
      <c r="AB54" s="25" t="s">
        <v>23</v>
      </c>
      <c r="AC54" s="28">
        <v>40701.5</v>
      </c>
      <c r="AD54" s="14">
        <f t="shared" si="109"/>
        <v>33030</v>
      </c>
      <c r="AE54" s="14">
        <f t="shared" si="110"/>
        <v>0</v>
      </c>
      <c r="AF54" s="14">
        <f t="shared" si="111"/>
        <v>0</v>
      </c>
      <c r="AG54" s="14">
        <f t="shared" si="112"/>
        <v>250.69770000000003</v>
      </c>
      <c r="AH54" s="14">
        <f t="shared" si="113"/>
        <v>33030</v>
      </c>
      <c r="AI54" s="14">
        <f>(0)</f>
        <v>0</v>
      </c>
      <c r="AJ54" s="14">
        <f t="shared" si="119"/>
        <v>33030</v>
      </c>
      <c r="AK54" s="14">
        <f t="shared" si="120"/>
        <v>-4624.2000000000007</v>
      </c>
      <c r="AL54" s="14">
        <f t="shared" si="121"/>
        <v>-330.3</v>
      </c>
      <c r="AM54" s="14" t="s">
        <v>0</v>
      </c>
      <c r="AN54" s="14" t="s">
        <v>0</v>
      </c>
      <c r="AO54" s="14" t="s">
        <v>0</v>
      </c>
      <c r="AP54" s="14" t="s">
        <v>0</v>
      </c>
      <c r="AQ54" s="14">
        <f t="shared" si="114"/>
        <v>28075.5</v>
      </c>
      <c r="AR54" s="14">
        <f>(0)</f>
        <v>0</v>
      </c>
      <c r="AS54" s="14">
        <f t="shared" si="122"/>
        <v>28075.5</v>
      </c>
      <c r="AT54" s="14">
        <f>SUM(AS$44:$AS54)</f>
        <v>308830.5</v>
      </c>
      <c r="AU54" s="29">
        <f t="shared" si="115"/>
        <v>0.2</v>
      </c>
      <c r="AV54" s="25">
        <f t="shared" si="123"/>
        <v>0</v>
      </c>
      <c r="AW54" s="31">
        <f t="shared" si="116"/>
        <v>0.2</v>
      </c>
      <c r="AX54" s="14">
        <f t="shared" si="125"/>
        <v>5615.1</v>
      </c>
      <c r="AY54" s="31">
        <f t="shared" si="124"/>
        <v>0.80240999999999996</v>
      </c>
      <c r="AZ54" s="14">
        <f t="shared" si="117"/>
        <v>33030</v>
      </c>
      <c r="BA54" s="14">
        <f t="shared" si="118"/>
        <v>28075.5</v>
      </c>
      <c r="BB54" s="13">
        <v>52</v>
      </c>
      <c r="BC54" s="17">
        <v>26</v>
      </c>
      <c r="BD54" s="33" t="s">
        <v>0</v>
      </c>
    </row>
    <row r="55" spans="28:56" ht="39.950000000000003" hidden="1" customHeight="1" x14ac:dyDescent="0.25">
      <c r="AD55" s="14">
        <f t="shared" si="109"/>
        <v>33030</v>
      </c>
      <c r="AE55" s="14">
        <f t="shared" si="110"/>
        <v>0</v>
      </c>
      <c r="AF55" s="14">
        <f t="shared" si="111"/>
        <v>0</v>
      </c>
      <c r="AG55" s="14">
        <f t="shared" si="112"/>
        <v>250.69770000000003</v>
      </c>
      <c r="AH55" s="14">
        <f t="shared" si="113"/>
        <v>33030</v>
      </c>
      <c r="AI55" s="14">
        <f>(0)</f>
        <v>0</v>
      </c>
      <c r="AJ55" s="14">
        <f t="shared" si="119"/>
        <v>33030</v>
      </c>
      <c r="AK55" s="14">
        <f t="shared" si="120"/>
        <v>-4624.2000000000007</v>
      </c>
      <c r="AL55" s="14">
        <f t="shared" si="121"/>
        <v>-330.3</v>
      </c>
      <c r="AM55" s="14" t="s">
        <v>0</v>
      </c>
      <c r="AN55" s="14" t="s">
        <v>0</v>
      </c>
      <c r="AO55" s="14" t="s">
        <v>0</v>
      </c>
      <c r="AP55" s="14" t="s">
        <v>0</v>
      </c>
      <c r="AQ55" s="14">
        <f t="shared" si="114"/>
        <v>28075.5</v>
      </c>
      <c r="AR55" s="14">
        <f>(0)</f>
        <v>0</v>
      </c>
      <c r="AS55" s="14">
        <f t="shared" si="122"/>
        <v>28075.5</v>
      </c>
      <c r="AT55" s="14">
        <f>SUM(AS$44:$AS55)</f>
        <v>336906</v>
      </c>
      <c r="AU55" s="29">
        <f t="shared" si="115"/>
        <v>0.2</v>
      </c>
      <c r="AV55" s="25">
        <f t="shared" si="123"/>
        <v>0</v>
      </c>
      <c r="AW55" s="31">
        <f t="shared" si="116"/>
        <v>0.2</v>
      </c>
      <c r="AX55" s="14">
        <f t="shared" si="125"/>
        <v>5615.1</v>
      </c>
      <c r="AY55" s="31">
        <f t="shared" si="124"/>
        <v>0.80240999999999996</v>
      </c>
      <c r="AZ55" s="14">
        <f t="shared" si="117"/>
        <v>33030</v>
      </c>
      <c r="BA55" s="14">
        <f t="shared" si="118"/>
        <v>28075.5</v>
      </c>
      <c r="BB55" s="13">
        <v>53</v>
      </c>
      <c r="BC55" s="17">
        <v>26.5</v>
      </c>
      <c r="BD55" s="33" t="s">
        <v>0</v>
      </c>
    </row>
    <row r="56" spans="28:56" ht="39.950000000000003" hidden="1" customHeight="1" x14ac:dyDescent="0.25">
      <c r="AD56" s="14">
        <f t="shared" ref="AD56" si="126">(AD44+AD45+AD46+AD47+AD48+AD49+AD50+AD51+AD52+AD53+AD54+AD55)</f>
        <v>396360</v>
      </c>
      <c r="AE56" s="14">
        <f t="shared" ref="AE56:AG56" si="127">(AE44+AE45+AE46+AE47+AE48+AE49+AE50+AE51+AE52+AE53+AE54+AE55)</f>
        <v>0</v>
      </c>
      <c r="AF56" s="14">
        <f>(AF44+AF45+AF46+AF47+AF48+AF49+AF50+AF51+AF52+AF53+AF54+AF55)</f>
        <v>0</v>
      </c>
      <c r="AG56" s="14">
        <f t="shared" si="127"/>
        <v>3008.3724000000007</v>
      </c>
      <c r="AH56" s="14">
        <f t="shared" ref="AH56" si="128">(AH44+AH45+AH46+AH47+AH48+AH49+AH50+AH51+AH52+AH53+AH54+AH55)</f>
        <v>396360</v>
      </c>
      <c r="AI56" s="14">
        <f t="shared" ref="AI56" si="129">(AI44+AI45+AI46+AI47+AI48+AI49+AI50+AI51+AI52+AI53+AI54+AI55)</f>
        <v>0</v>
      </c>
      <c r="AJ56" s="14">
        <f t="shared" ref="AJ56" si="130">(AJ44+AJ45+AJ46+AJ47+AJ48+AJ49+AJ50+AJ51+AJ52+AJ53+AJ54+AJ55)</f>
        <v>396360</v>
      </c>
      <c r="AK56" s="14">
        <f t="shared" ref="AK56" si="131">(AK44+AK45+AK46+AK47+AK48+AK49+AK50+AK51+AK52+AK53+AK54+AK55)</f>
        <v>-55490.399999999994</v>
      </c>
      <c r="AL56" s="14">
        <f t="shared" ref="AL56" si="132">(AL44+AL45+AL46+AL47+AL48+AL49+AL50+AL51+AL52+AL53+AL54+AL55)</f>
        <v>-3963.6000000000008</v>
      </c>
      <c r="AM56" s="19" t="s">
        <v>0</v>
      </c>
      <c r="AN56" s="19" t="s">
        <v>0</v>
      </c>
      <c r="AO56" s="19" t="s">
        <v>0</v>
      </c>
      <c r="AP56" s="19" t="s">
        <v>0</v>
      </c>
      <c r="AQ56" s="14">
        <f t="shared" ref="AQ56" si="133">(AQ44+AQ45+AQ46+AQ47+AQ48+AQ49+AQ50+AQ51+AQ52+AQ53+AQ54+AQ55)</f>
        <v>336906</v>
      </c>
      <c r="AR56" s="14">
        <f t="shared" ref="AR56" si="134">(AR44+AR45+AR46+AR47+AR48+AR49+AR50+AR51+AR52+AR53+AR54+AR55)</f>
        <v>0</v>
      </c>
      <c r="AS56" s="14">
        <f t="shared" ref="AS56" si="135">(AS44+AS45+AS46+AS47+AS48+AS49+AS50+AS51+AS52+AS53+AS54+AS55)</f>
        <v>336906</v>
      </c>
      <c r="AT56" s="19" t="s">
        <v>0</v>
      </c>
      <c r="AU56" s="13" t="s">
        <v>0</v>
      </c>
      <c r="AV56" s="13" t="s">
        <v>0</v>
      </c>
      <c r="AW56" s="13" t="s">
        <v>0</v>
      </c>
      <c r="AX56" s="14">
        <f t="shared" ref="AX56" si="136">(AX44+AX45+AX46+AX47+AX48+AX49+AX50+AX51+AX52+AX53+AX54+AX55)</f>
        <v>57881.229999999996</v>
      </c>
      <c r="AY56" s="13" t="s">
        <v>0</v>
      </c>
      <c r="AZ56" s="14">
        <f t="shared" ref="AZ56" si="137">(AZ44+AZ45+AZ46+AZ47+AZ48+AZ49+AZ50+AZ51+AZ52+AZ53+AZ54+AZ55)</f>
        <v>396360</v>
      </c>
      <c r="BA56" s="14">
        <f t="shared" ref="BA56" si="138">(BA44+BA45+BA46+BA47+BA48+BA49+BA50+BA51+BA52+BA53+BA54+BA55)</f>
        <v>336906</v>
      </c>
      <c r="BB56" s="13">
        <v>54</v>
      </c>
      <c r="BC56" s="17">
        <v>27</v>
      </c>
      <c r="BD56" s="33" t="s">
        <v>0</v>
      </c>
    </row>
    <row r="57" spans="28:56" ht="39.950000000000003" hidden="1" customHeight="1" x14ac:dyDescent="0.25">
      <c r="AD57" s="14">
        <f t="shared" ref="AD57" si="139">(AD56/12)</f>
        <v>33030</v>
      </c>
      <c r="AE57" s="14">
        <f t="shared" ref="AE57:AG57" si="140">(AE56/12)</f>
        <v>0</v>
      </c>
      <c r="AF57" s="14">
        <f>(AF56/12)</f>
        <v>0</v>
      </c>
      <c r="AG57" s="14">
        <f t="shared" si="140"/>
        <v>250.69770000000005</v>
      </c>
      <c r="AH57" s="14">
        <f t="shared" ref="AH57" si="141">(AH56/12)</f>
        <v>33030</v>
      </c>
      <c r="AI57" s="14">
        <f t="shared" ref="AI57" si="142">(AI56/12)</f>
        <v>0</v>
      </c>
      <c r="AJ57" s="14">
        <f t="shared" ref="AJ57" si="143">(AJ56/12)</f>
        <v>33030</v>
      </c>
      <c r="AK57" s="14">
        <f t="shared" ref="AK57" si="144">(AK56/12)</f>
        <v>-4624.2</v>
      </c>
      <c r="AL57" s="14">
        <f t="shared" ref="AL57" si="145">(AL56/12)</f>
        <v>-330.30000000000007</v>
      </c>
      <c r="AM57" s="19" t="s">
        <v>0</v>
      </c>
      <c r="AN57" s="19" t="s">
        <v>0</v>
      </c>
      <c r="AO57" s="19" t="s">
        <v>0</v>
      </c>
      <c r="AP57" s="19" t="s">
        <v>0</v>
      </c>
      <c r="AQ57" s="14">
        <f t="shared" ref="AQ57" si="146">(AQ56/12)</f>
        <v>28075.5</v>
      </c>
      <c r="AR57" s="14">
        <f t="shared" ref="AR57" si="147">(AR56/12)</f>
        <v>0</v>
      </c>
      <c r="AS57" s="14">
        <f t="shared" ref="AS57" si="148">(AS56/12)</f>
        <v>28075.5</v>
      </c>
      <c r="AT57" s="19" t="s">
        <v>0</v>
      </c>
      <c r="AU57" s="19" t="s">
        <v>0</v>
      </c>
      <c r="AV57" s="19" t="s">
        <v>0</v>
      </c>
      <c r="AW57" s="19" t="s">
        <v>0</v>
      </c>
      <c r="AX57" s="14">
        <f t="shared" ref="AX57" si="149">(AX56/12)</f>
        <v>4823.435833333333</v>
      </c>
      <c r="AY57" s="19" t="s">
        <v>0</v>
      </c>
      <c r="AZ57" s="14">
        <f t="shared" ref="AZ57" si="150">(AZ56/12)</f>
        <v>33030</v>
      </c>
      <c r="BA57" s="14">
        <f t="shared" ref="BA57" si="151">(BA56/12)</f>
        <v>28075.5</v>
      </c>
      <c r="BB57" s="13">
        <v>55</v>
      </c>
      <c r="BC57" s="17">
        <v>27.5</v>
      </c>
      <c r="BD57" s="33" t="s">
        <v>0</v>
      </c>
    </row>
    <row r="58" spans="28:56" ht="39.950000000000003" hidden="1" customHeight="1" x14ac:dyDescent="0.25">
      <c r="AP58" s="14">
        <f>(0)</f>
        <v>0</v>
      </c>
      <c r="AQ58" s="29">
        <f>(0%)</f>
        <v>0</v>
      </c>
      <c r="BB58" s="13">
        <v>56</v>
      </c>
      <c r="BC58" s="17">
        <v>28</v>
      </c>
      <c r="BD58" s="33" t="s">
        <v>0</v>
      </c>
    </row>
    <row r="59" spans="28:56" ht="39.950000000000003" hidden="1" customHeight="1" x14ac:dyDescent="0.25">
      <c r="AD59" s="14">
        <f t="shared" ref="AD59:AD70" ca="1" si="152">(AO15+AQ15+AS15+AU15+AW15+AF29+AF1+AV1+AI29+AL29+AN29)</f>
        <v>84507.960483417482</v>
      </c>
      <c r="AE59" s="14">
        <f t="shared" ref="AE59:AE70" si="153">(AD44+AI1)</f>
        <v>40830</v>
      </c>
      <c r="AF59" s="14">
        <f ca="1">(AD59-AE59)</f>
        <v>43677.960483417482</v>
      </c>
      <c r="AG59" s="14">
        <f t="shared" ref="AG59:AG70" ca="1" si="154">(AF59*0.00759*-1)</f>
        <v>-331.51572006913869</v>
      </c>
      <c r="AH59" s="14">
        <f ca="1">(AD59)</f>
        <v>84507.960483417482</v>
      </c>
      <c r="AI59" s="14">
        <f t="shared" ref="AI59:AI70" si="155">(AM1+AO29)</f>
        <v>4108</v>
      </c>
      <c r="AJ59" s="14">
        <f t="shared" ref="AJ59:AJ70" ca="1" si="156">IF(AH59-AI59&gt;=AX29*7.5,AX29*7.5,AH59-AI59)</f>
        <v>80399.960483417482</v>
      </c>
      <c r="AK59" s="14">
        <f ca="1">(AJ59*0.14*-1)</f>
        <v>-11255.994467678449</v>
      </c>
      <c r="AL59" s="14">
        <f ca="1">(AJ59*0.01*-1)</f>
        <v>-803.99960483417487</v>
      </c>
      <c r="AM59" s="14">
        <f t="shared" ref="AM59:AM70" ca="1" si="157">(AD59+AK59+AL59)</f>
        <v>72447.966410904861</v>
      </c>
      <c r="AN59" s="14">
        <f t="shared" ref="AN59:AN70" si="158">(AR1+AO29+AS29+AW29)</f>
        <v>9183.4680000000008</v>
      </c>
      <c r="AO59" s="14">
        <f ca="1">(AM59-AN59)</f>
        <v>63264.49841090486</v>
      </c>
      <c r="AP59" s="14">
        <f ca="1">SUM($AO$59:AO59)</f>
        <v>63264.49841090486</v>
      </c>
      <c r="AQ59" s="29">
        <f t="shared" ref="AQ59:AQ70" ca="1" si="159">IF(AP59&lt;=$AO$44,$AM$44,
IF(AP59&gt;$AO$46,
IF(AP59&gt;$AO$47,$AM$48,$AM$47),
IF(AP59&lt;$AO$45,$AM$45,$AM$46)))</f>
        <v>0.15</v>
      </c>
      <c r="AR59" s="25">
        <f ca="1">IF(AQ59-AQ58=0,0,1)</f>
        <v>1</v>
      </c>
      <c r="AS59" s="31">
        <f t="shared" ref="AS59:AS70" ca="1" si="160">(IF(AR59=0,AQ59,(VLOOKUP($AQ59,$AM$44:$AP$48,2,0)-AP58)/AO59*AQ58+(AP59-VLOOKUP($AQ59,$AM$44:$AP$48,2,0))/AO59*AQ59))</f>
        <v>0.15</v>
      </c>
      <c r="AT59" s="14">
        <f ca="1">(ROUND(AO59*AS59,2)*(-1)+VLOOKUP(AQ59,$AM$44:$AP$48,4,0)*(-1))</f>
        <v>-9489.67</v>
      </c>
      <c r="AU59" s="14">
        <f t="shared" ref="AU59:AU70" ca="1" si="161">(AT59+AX44)</f>
        <v>-5278.34</v>
      </c>
      <c r="AV59" s="31">
        <f t="shared" ref="AV59:AV70" ca="1" si="162">(100+(100*0.00759*-1)+(100)*AS59*-1)/100</f>
        <v>0.84240999999999999</v>
      </c>
      <c r="AW59" s="31">
        <f>(100+(100*0.00759*-1)+(100*0.14*-1)+(100*0.01*-1))/100</f>
        <v>0.84240999999999999</v>
      </c>
      <c r="AX59" s="31">
        <f t="shared" ref="AX59:AX70" ca="1" si="163">(100+(100*0.00759*-1)+(100*0.14*-1)+(100*0.01*-1)+(100+100*0.14*-1+100*0.01*-1)*AS59*-1)/100</f>
        <v>0.71491000000000005</v>
      </c>
      <c r="AY59" s="34" t="s">
        <v>11</v>
      </c>
      <c r="AZ59" s="34" t="s">
        <v>61</v>
      </c>
      <c r="BB59" s="13">
        <v>57</v>
      </c>
      <c r="BC59" s="17">
        <v>28.5</v>
      </c>
      <c r="BD59" s="33" t="s">
        <v>0</v>
      </c>
    </row>
    <row r="60" spans="28:56" ht="39.950000000000003" hidden="1" customHeight="1" x14ac:dyDescent="0.25">
      <c r="AD60" s="14">
        <f t="shared" ca="1" si="152"/>
        <v>82726.51356058805</v>
      </c>
      <c r="AE60" s="14">
        <f t="shared" si="153"/>
        <v>40830</v>
      </c>
      <c r="AF60" s="14">
        <f t="shared" ref="AF60:AF70" ca="1" si="164">(AD60-AE60)</f>
        <v>41896.51356058805</v>
      </c>
      <c r="AG60" s="14">
        <f t="shared" ca="1" si="154"/>
        <v>-317.99453792486332</v>
      </c>
      <c r="AH60" s="14">
        <f t="shared" ref="AH60:AH70" ca="1" si="165">(AD60)</f>
        <v>82726.51356058805</v>
      </c>
      <c r="AI60" s="14">
        <f t="shared" si="155"/>
        <v>4108</v>
      </c>
      <c r="AJ60" s="14">
        <f t="shared" ca="1" si="156"/>
        <v>78618.51356058805</v>
      </c>
      <c r="AK60" s="14">
        <f t="shared" ref="AK60:AK70" ca="1" si="166">(AJ60*0.14*-1)</f>
        <v>-11006.591898482327</v>
      </c>
      <c r="AL60" s="14">
        <f t="shared" ref="AL60:AL70" ca="1" si="167">(AJ60*0.01*-1)</f>
        <v>-786.18513560588053</v>
      </c>
      <c r="AM60" s="14">
        <f t="shared" ca="1" si="157"/>
        <v>70933.736526499852</v>
      </c>
      <c r="AN60" s="14">
        <f t="shared" si="158"/>
        <v>9183.4680000000008</v>
      </c>
      <c r="AO60" s="14">
        <f t="shared" ref="AO60:AO70" ca="1" si="168">(AM60-AN60)</f>
        <v>61750.268526499851</v>
      </c>
      <c r="AP60" s="14">
        <f ca="1">SUM($AO$59:AO60)</f>
        <v>125014.76693740471</v>
      </c>
      <c r="AQ60" s="29">
        <f t="shared" ca="1" si="159"/>
        <v>0.15</v>
      </c>
      <c r="AR60" s="25">
        <f t="shared" ref="AR60:AR70" ca="1" si="169">IF(AQ60-AQ59=0,0,1)</f>
        <v>0</v>
      </c>
      <c r="AS60" s="31">
        <f t="shared" ca="1" si="160"/>
        <v>0.15</v>
      </c>
      <c r="AT60" s="14">
        <f ca="1">(ROUND(AO60*AS60,2)*(-1))</f>
        <v>-9262.5400000000009</v>
      </c>
      <c r="AU60" s="14">
        <f t="shared" ca="1" si="161"/>
        <v>-5051.2100000000009</v>
      </c>
      <c r="AV60" s="31">
        <f t="shared" ca="1" si="162"/>
        <v>0.84240999999999999</v>
      </c>
      <c r="AW60" s="31">
        <f t="shared" ref="AW60:AW70" si="170">(100+(100*0.00759*-1)+(100*0.14*-1)+(100*0.01*-1))/100</f>
        <v>0.84240999999999999</v>
      </c>
      <c r="AX60" s="31">
        <f t="shared" ca="1" si="163"/>
        <v>0.71491000000000005</v>
      </c>
      <c r="AY60" s="35" t="s">
        <v>10</v>
      </c>
      <c r="AZ60" s="36" t="s">
        <v>92</v>
      </c>
      <c r="BB60" s="13">
        <v>58</v>
      </c>
      <c r="BC60" s="17">
        <v>29</v>
      </c>
      <c r="BD60" s="33" t="s">
        <v>0</v>
      </c>
    </row>
    <row r="61" spans="28:56" ht="39.950000000000003" hidden="1" customHeight="1" x14ac:dyDescent="0.25">
      <c r="AD61" s="14">
        <f t="shared" ca="1" si="152"/>
        <v>132843.05655884152</v>
      </c>
      <c r="AE61" s="14">
        <f t="shared" si="153"/>
        <v>40830</v>
      </c>
      <c r="AF61" s="14">
        <f t="shared" ca="1" si="164"/>
        <v>92013.056558841519</v>
      </c>
      <c r="AG61" s="14">
        <f t="shared" ca="1" si="154"/>
        <v>-698.37909928160718</v>
      </c>
      <c r="AH61" s="14">
        <f t="shared" ca="1" si="165"/>
        <v>132843.05655884152</v>
      </c>
      <c r="AI61" s="14">
        <f t="shared" si="155"/>
        <v>4108</v>
      </c>
      <c r="AJ61" s="14">
        <f t="shared" ca="1" si="156"/>
        <v>128735.05655884152</v>
      </c>
      <c r="AK61" s="14">
        <f t="shared" ca="1" si="166"/>
        <v>-18022.907918237815</v>
      </c>
      <c r="AL61" s="14">
        <f t="shared" ca="1" si="167"/>
        <v>-1287.3505655884153</v>
      </c>
      <c r="AM61" s="14">
        <f t="shared" ca="1" si="157"/>
        <v>113532.79807501528</v>
      </c>
      <c r="AN61" s="14">
        <f t="shared" si="158"/>
        <v>9537.7979999999989</v>
      </c>
      <c r="AO61" s="14">
        <f t="shared" ca="1" si="168"/>
        <v>103995.00007501528</v>
      </c>
      <c r="AP61" s="14">
        <f ca="1">SUM($AO$59:AO61)</f>
        <v>229009.76701241999</v>
      </c>
      <c r="AQ61" s="29">
        <f t="shared" ca="1" si="159"/>
        <v>0.2</v>
      </c>
      <c r="AR61" s="25">
        <f t="shared" ca="1" si="169"/>
        <v>1</v>
      </c>
      <c r="AS61" s="31">
        <f t="shared" ca="1" si="160"/>
        <v>0.16875559737693199</v>
      </c>
      <c r="AT61" s="14">
        <f t="shared" ref="AT61:AT70" ca="1" si="171">(ROUND(AO61*AS61,2)*(-1))</f>
        <v>-17549.740000000002</v>
      </c>
      <c r="AU61" s="14">
        <f t="shared" ca="1" si="161"/>
        <v>-13338.410000000002</v>
      </c>
      <c r="AV61" s="31">
        <f t="shared" ca="1" si="162"/>
        <v>0.8236544026230681</v>
      </c>
      <c r="AW61" s="31">
        <f t="shared" si="170"/>
        <v>0.84240999999999999</v>
      </c>
      <c r="AX61" s="31">
        <f t="shared" ca="1" si="163"/>
        <v>0.69896774222960789</v>
      </c>
      <c r="AY61" s="35" t="s">
        <v>12</v>
      </c>
      <c r="AZ61" s="37" t="s">
        <v>36</v>
      </c>
      <c r="BB61" s="13">
        <v>59</v>
      </c>
      <c r="BC61" s="17">
        <v>29.5</v>
      </c>
      <c r="BD61" s="33" t="s">
        <v>0</v>
      </c>
    </row>
    <row r="62" spans="28:56" ht="39.950000000000003" hidden="1" customHeight="1" x14ac:dyDescent="0.25">
      <c r="AD62" s="14">
        <f t="shared" ca="1" si="152"/>
        <v>96226.895616513735</v>
      </c>
      <c r="AE62" s="14">
        <f t="shared" si="153"/>
        <v>40830</v>
      </c>
      <c r="AF62" s="14">
        <f t="shared" ca="1" si="164"/>
        <v>55396.895616513735</v>
      </c>
      <c r="AG62" s="14">
        <f t="shared" ca="1" si="154"/>
        <v>-420.46243772933929</v>
      </c>
      <c r="AH62" s="14">
        <f t="shared" ca="1" si="165"/>
        <v>96226.895616513735</v>
      </c>
      <c r="AI62" s="14">
        <f t="shared" si="155"/>
        <v>4108</v>
      </c>
      <c r="AJ62" s="14">
        <f t="shared" ca="1" si="156"/>
        <v>92118.895616513735</v>
      </c>
      <c r="AK62" s="14">
        <f t="shared" ca="1" si="166"/>
        <v>-12896.645386311924</v>
      </c>
      <c r="AL62" s="14">
        <f t="shared" ca="1" si="167"/>
        <v>-921.18895616513737</v>
      </c>
      <c r="AM62" s="14">
        <f t="shared" ca="1" si="157"/>
        <v>82409.061274036678</v>
      </c>
      <c r="AN62" s="14">
        <f t="shared" si="158"/>
        <v>9537.7979999999989</v>
      </c>
      <c r="AO62" s="14">
        <f t="shared" ca="1" si="168"/>
        <v>72871.263274036683</v>
      </c>
      <c r="AP62" s="14">
        <f ca="1">SUM($AO$59:AO62)</f>
        <v>301881.03028645669</v>
      </c>
      <c r="AQ62" s="29">
        <f t="shared" ca="1" si="159"/>
        <v>0.2</v>
      </c>
      <c r="AR62" s="25">
        <f t="shared" ca="1" si="169"/>
        <v>0</v>
      </c>
      <c r="AS62" s="31">
        <f t="shared" ca="1" si="160"/>
        <v>0.2</v>
      </c>
      <c r="AT62" s="14">
        <f t="shared" ca="1" si="171"/>
        <v>-14574.25</v>
      </c>
      <c r="AU62" s="14">
        <f t="shared" ca="1" si="161"/>
        <v>-10362.92</v>
      </c>
      <c r="AV62" s="31">
        <f t="shared" ca="1" si="162"/>
        <v>0.79240999999999995</v>
      </c>
      <c r="AW62" s="31">
        <f t="shared" si="170"/>
        <v>0.84240999999999999</v>
      </c>
      <c r="AX62" s="31">
        <f t="shared" ca="1" si="163"/>
        <v>0.67240999999999995</v>
      </c>
      <c r="AY62" s="35" t="s">
        <v>32</v>
      </c>
      <c r="AZ62" s="14" t="s">
        <v>41</v>
      </c>
      <c r="BB62" s="13">
        <v>60</v>
      </c>
      <c r="BC62" s="17">
        <v>30</v>
      </c>
      <c r="BD62" s="33" t="s">
        <v>0</v>
      </c>
    </row>
    <row r="63" spans="28:56" ht="39.950000000000003" hidden="1" customHeight="1" x14ac:dyDescent="0.25">
      <c r="AD63" s="14">
        <f t="shared" ca="1" si="152"/>
        <v>98773.115616513736</v>
      </c>
      <c r="AE63" s="14">
        <f t="shared" si="153"/>
        <v>40830</v>
      </c>
      <c r="AF63" s="14">
        <f t="shared" ca="1" si="164"/>
        <v>57943.115616513736</v>
      </c>
      <c r="AG63" s="14">
        <f t="shared" ca="1" si="154"/>
        <v>-439.78824752933929</v>
      </c>
      <c r="AH63" s="14">
        <f t="shared" ca="1" si="165"/>
        <v>98773.115616513736</v>
      </c>
      <c r="AI63" s="14">
        <f t="shared" si="155"/>
        <v>4108</v>
      </c>
      <c r="AJ63" s="14">
        <f t="shared" ca="1" si="156"/>
        <v>94665.115616513736</v>
      </c>
      <c r="AK63" s="14">
        <f t="shared" ca="1" si="166"/>
        <v>-13253.116186311925</v>
      </c>
      <c r="AL63" s="14">
        <f t="shared" ca="1" si="167"/>
        <v>-946.65115616513742</v>
      </c>
      <c r="AM63" s="14">
        <f t="shared" ca="1" si="157"/>
        <v>84573.348274036674</v>
      </c>
      <c r="AN63" s="14">
        <f t="shared" si="158"/>
        <v>9537.7979999999989</v>
      </c>
      <c r="AO63" s="14">
        <f t="shared" ca="1" si="168"/>
        <v>75035.550274036679</v>
      </c>
      <c r="AP63" s="14">
        <f ca="1">SUM($AO$59:AO63)</f>
        <v>376916.5805604934</v>
      </c>
      <c r="AQ63" s="29">
        <f t="shared" ca="1" si="159"/>
        <v>0.2</v>
      </c>
      <c r="AR63" s="25">
        <f t="shared" ca="1" si="169"/>
        <v>0</v>
      </c>
      <c r="AS63" s="31">
        <f t="shared" ca="1" si="160"/>
        <v>0.2</v>
      </c>
      <c r="AT63" s="14">
        <f t="shared" ca="1" si="171"/>
        <v>-15007.11</v>
      </c>
      <c r="AU63" s="14">
        <f t="shared" ca="1" si="161"/>
        <v>-10795.78</v>
      </c>
      <c r="AV63" s="31">
        <f t="shared" ca="1" si="162"/>
        <v>0.79240999999999995</v>
      </c>
      <c r="AW63" s="31">
        <f t="shared" si="170"/>
        <v>0.84240999999999999</v>
      </c>
      <c r="AX63" s="31">
        <f t="shared" ca="1" si="163"/>
        <v>0.67240999999999995</v>
      </c>
      <c r="AY63" s="35" t="s">
        <v>16</v>
      </c>
      <c r="AZ63" s="37" t="s">
        <v>37</v>
      </c>
      <c r="BB63" s="13">
        <v>61</v>
      </c>
      <c r="BC63" s="17">
        <v>30.5</v>
      </c>
      <c r="BD63" s="33" t="s">
        <v>0</v>
      </c>
    </row>
    <row r="64" spans="28:56" ht="39.950000000000003" hidden="1" customHeight="1" x14ac:dyDescent="0.25">
      <c r="AD64" s="14">
        <f t="shared" ca="1" si="152"/>
        <v>134784.57219632142</v>
      </c>
      <c r="AE64" s="14">
        <f t="shared" si="153"/>
        <v>40830</v>
      </c>
      <c r="AF64" s="14">
        <f t="shared" ca="1" si="164"/>
        <v>93954.572196321416</v>
      </c>
      <c r="AG64" s="14">
        <f t="shared" ca="1" si="154"/>
        <v>-713.11520297007962</v>
      </c>
      <c r="AH64" s="14">
        <f t="shared" ca="1" si="165"/>
        <v>134784.57219632142</v>
      </c>
      <c r="AI64" s="14">
        <f t="shared" si="155"/>
        <v>4108</v>
      </c>
      <c r="AJ64" s="14">
        <f t="shared" ca="1" si="156"/>
        <v>130676.57219632142</v>
      </c>
      <c r="AK64" s="14">
        <f t="shared" ca="1" si="166"/>
        <v>-18294.720107485002</v>
      </c>
      <c r="AL64" s="14">
        <f t="shared" ca="1" si="167"/>
        <v>-1306.7657219632142</v>
      </c>
      <c r="AM64" s="14">
        <f t="shared" ca="1" si="157"/>
        <v>115183.08636687321</v>
      </c>
      <c r="AN64" s="14">
        <f t="shared" si="158"/>
        <v>9537.7979999999989</v>
      </c>
      <c r="AO64" s="14">
        <f t="shared" ca="1" si="168"/>
        <v>105645.28836687321</v>
      </c>
      <c r="AP64" s="14">
        <f ca="1">SUM($AO$59:AO64)</f>
        <v>482561.86892736662</v>
      </c>
      <c r="AQ64" s="29">
        <f t="shared" ca="1" si="159"/>
        <v>0.27</v>
      </c>
      <c r="AR64" s="25">
        <f t="shared" ca="1" si="169"/>
        <v>1</v>
      </c>
      <c r="AS64" s="31">
        <f t="shared" ca="1" si="160"/>
        <v>0.25470505040268193</v>
      </c>
      <c r="AT64" s="14">
        <f t="shared" ca="1" si="171"/>
        <v>-26908.39</v>
      </c>
      <c r="AU64" s="14">
        <f t="shared" ca="1" si="161"/>
        <v>-22697.059999999998</v>
      </c>
      <c r="AV64" s="31">
        <f t="shared" ca="1" si="162"/>
        <v>0.73770494959731803</v>
      </c>
      <c r="AW64" s="31">
        <f t="shared" si="170"/>
        <v>0.84240999999999999</v>
      </c>
      <c r="AX64" s="31">
        <f t="shared" ca="1" si="163"/>
        <v>0.62591070715772035</v>
      </c>
      <c r="AY64" s="35" t="s">
        <v>14</v>
      </c>
      <c r="AZ64" s="36" t="s">
        <v>93</v>
      </c>
      <c r="BB64" s="13">
        <v>62</v>
      </c>
      <c r="BC64" s="17">
        <v>31</v>
      </c>
      <c r="BD64" s="33" t="s">
        <v>0</v>
      </c>
    </row>
    <row r="65" spans="30:56" ht="39.950000000000003" hidden="1" customHeight="1" x14ac:dyDescent="0.25">
      <c r="AD65" s="14">
        <f t="shared" ca="1" si="152"/>
        <v>99249.257895449569</v>
      </c>
      <c r="AE65" s="14">
        <f t="shared" si="153"/>
        <v>40830</v>
      </c>
      <c r="AF65" s="14">
        <f t="shared" ca="1" si="164"/>
        <v>58419.257895449569</v>
      </c>
      <c r="AG65" s="14">
        <f t="shared" ca="1" si="154"/>
        <v>-443.40216742646226</v>
      </c>
      <c r="AH65" s="14">
        <f t="shared" ca="1" si="165"/>
        <v>99249.257895449569</v>
      </c>
      <c r="AI65" s="14">
        <f t="shared" si="155"/>
        <v>4108</v>
      </c>
      <c r="AJ65" s="14">
        <f t="shared" ca="1" si="156"/>
        <v>95141.257895449569</v>
      </c>
      <c r="AK65" s="14">
        <f t="shared" ca="1" si="166"/>
        <v>-13319.77610536294</v>
      </c>
      <c r="AL65" s="14">
        <f t="shared" ca="1" si="167"/>
        <v>-951.41257895449576</v>
      </c>
      <c r="AM65" s="14">
        <f t="shared" ca="1" si="157"/>
        <v>84978.06921113214</v>
      </c>
      <c r="AN65" s="14">
        <f t="shared" si="158"/>
        <v>9537.7979999999989</v>
      </c>
      <c r="AO65" s="14">
        <f t="shared" ca="1" si="168"/>
        <v>75440.271211132145</v>
      </c>
      <c r="AP65" s="14">
        <f ca="1">SUM($AO$59:AO65)</f>
        <v>558002.14013849874</v>
      </c>
      <c r="AQ65" s="29">
        <f t="shared" ca="1" si="159"/>
        <v>0.27</v>
      </c>
      <c r="AR65" s="25">
        <f t="shared" ca="1" si="169"/>
        <v>0</v>
      </c>
      <c r="AS65" s="31">
        <f t="shared" ca="1" si="160"/>
        <v>0.27</v>
      </c>
      <c r="AT65" s="14">
        <f t="shared" ca="1" si="171"/>
        <v>-20368.87</v>
      </c>
      <c r="AU65" s="14">
        <f t="shared" ca="1" si="161"/>
        <v>-15831.119999999999</v>
      </c>
      <c r="AV65" s="31">
        <f t="shared" ca="1" si="162"/>
        <v>0.72241</v>
      </c>
      <c r="AW65" s="31">
        <f t="shared" si="170"/>
        <v>0.84240999999999999</v>
      </c>
      <c r="AX65" s="31">
        <f t="shared" ca="1" si="163"/>
        <v>0.61290999999999995</v>
      </c>
      <c r="AY65" s="35" t="s">
        <v>15</v>
      </c>
      <c r="AZ65" s="36" t="s">
        <v>94</v>
      </c>
      <c r="BB65" s="13">
        <v>63</v>
      </c>
      <c r="BC65" s="17">
        <v>31.5</v>
      </c>
      <c r="BD65" s="33" t="s">
        <v>0</v>
      </c>
    </row>
    <row r="66" spans="30:56" ht="39.950000000000003" hidden="1" customHeight="1" x14ac:dyDescent="0.25">
      <c r="AD66" s="14">
        <f t="shared" ca="1" si="152"/>
        <v>99249.257895449569</v>
      </c>
      <c r="AE66" s="14">
        <f t="shared" si="153"/>
        <v>40830</v>
      </c>
      <c r="AF66" s="14">
        <f t="shared" ca="1" si="164"/>
        <v>58419.257895449569</v>
      </c>
      <c r="AG66" s="14">
        <f t="shared" ca="1" si="154"/>
        <v>-443.40216742646226</v>
      </c>
      <c r="AH66" s="14">
        <f t="shared" ca="1" si="165"/>
        <v>99249.257895449569</v>
      </c>
      <c r="AI66" s="14">
        <f t="shared" si="155"/>
        <v>4108</v>
      </c>
      <c r="AJ66" s="14">
        <f t="shared" ca="1" si="156"/>
        <v>95141.257895449569</v>
      </c>
      <c r="AK66" s="14">
        <f t="shared" ca="1" si="166"/>
        <v>-13319.77610536294</v>
      </c>
      <c r="AL66" s="14">
        <f t="shared" ca="1" si="167"/>
        <v>-951.41257895449576</v>
      </c>
      <c r="AM66" s="14">
        <f t="shared" ca="1" si="157"/>
        <v>84978.06921113214</v>
      </c>
      <c r="AN66" s="14">
        <f t="shared" si="158"/>
        <v>9537.7979999999989</v>
      </c>
      <c r="AO66" s="14">
        <f t="shared" ca="1" si="168"/>
        <v>75440.271211132145</v>
      </c>
      <c r="AP66" s="14">
        <f ca="1">SUM($AO$59:AO66)</f>
        <v>633442.41134963091</v>
      </c>
      <c r="AQ66" s="29">
        <f t="shared" ca="1" si="159"/>
        <v>0.27</v>
      </c>
      <c r="AR66" s="25">
        <f t="shared" ca="1" si="169"/>
        <v>0</v>
      </c>
      <c r="AS66" s="31">
        <f t="shared" ca="1" si="160"/>
        <v>0.27</v>
      </c>
      <c r="AT66" s="14">
        <f t="shared" ca="1" si="171"/>
        <v>-20368.87</v>
      </c>
      <c r="AU66" s="14">
        <f t="shared" ca="1" si="161"/>
        <v>-14753.769999999999</v>
      </c>
      <c r="AV66" s="31">
        <f t="shared" ca="1" si="162"/>
        <v>0.72241</v>
      </c>
      <c r="AW66" s="31">
        <f t="shared" si="170"/>
        <v>0.84240999999999999</v>
      </c>
      <c r="AX66" s="31">
        <f t="shared" ca="1" si="163"/>
        <v>0.61290999999999995</v>
      </c>
      <c r="AY66" s="35" t="s">
        <v>33</v>
      </c>
      <c r="AZ66" s="37" t="s">
        <v>38</v>
      </c>
      <c r="BB66" s="13">
        <v>64</v>
      </c>
      <c r="BC66" s="17">
        <v>32</v>
      </c>
      <c r="BD66" s="33" t="s">
        <v>0</v>
      </c>
    </row>
    <row r="67" spans="30:56" ht="39.950000000000003" hidden="1" customHeight="1" x14ac:dyDescent="0.25">
      <c r="AD67" s="14">
        <f t="shared" ca="1" si="152"/>
        <v>148263.88789544956</v>
      </c>
      <c r="AE67" s="14">
        <f t="shared" si="153"/>
        <v>40830</v>
      </c>
      <c r="AF67" s="14">
        <f t="shared" ca="1" si="164"/>
        <v>107433.88789544956</v>
      </c>
      <c r="AG67" s="14">
        <f t="shared" ca="1" si="154"/>
        <v>-815.42320912646221</v>
      </c>
      <c r="AH67" s="14">
        <f t="shared" ca="1" si="165"/>
        <v>148263.88789544956</v>
      </c>
      <c r="AI67" s="14">
        <f t="shared" si="155"/>
        <v>4108</v>
      </c>
      <c r="AJ67" s="14">
        <f t="shared" ca="1" si="156"/>
        <v>144155.88789544956</v>
      </c>
      <c r="AK67" s="14">
        <f t="shared" ca="1" si="166"/>
        <v>-20181.824305362941</v>
      </c>
      <c r="AL67" s="14">
        <f t="shared" ca="1" si="167"/>
        <v>-1441.5588789544956</v>
      </c>
      <c r="AM67" s="14">
        <f t="shared" ca="1" si="157"/>
        <v>126640.50471113212</v>
      </c>
      <c r="AN67" s="14">
        <f t="shared" si="158"/>
        <v>9881.5349999999999</v>
      </c>
      <c r="AO67" s="14">
        <f t="shared" ca="1" si="168"/>
        <v>116758.96971113211</v>
      </c>
      <c r="AP67" s="14">
        <f ca="1">SUM($AO$59:AO67)</f>
        <v>750201.38106076303</v>
      </c>
      <c r="AQ67" s="29">
        <f t="shared" ca="1" si="159"/>
        <v>0.27</v>
      </c>
      <c r="AR67" s="25">
        <f t="shared" ca="1" si="169"/>
        <v>0</v>
      </c>
      <c r="AS67" s="31">
        <f t="shared" ca="1" si="160"/>
        <v>0.27</v>
      </c>
      <c r="AT67" s="14">
        <f t="shared" ca="1" si="171"/>
        <v>-31524.92</v>
      </c>
      <c r="AU67" s="14">
        <f t="shared" ca="1" si="161"/>
        <v>-25909.82</v>
      </c>
      <c r="AV67" s="31">
        <f t="shared" ca="1" si="162"/>
        <v>0.72241</v>
      </c>
      <c r="AW67" s="31">
        <f t="shared" si="170"/>
        <v>0.84240999999999999</v>
      </c>
      <c r="AX67" s="31">
        <f t="shared" ca="1" si="163"/>
        <v>0.61290999999999995</v>
      </c>
      <c r="AY67" s="35" t="s">
        <v>28</v>
      </c>
      <c r="AZ67" s="36" t="s">
        <v>95</v>
      </c>
      <c r="BB67" s="13">
        <v>65</v>
      </c>
      <c r="BC67" s="17">
        <v>32.5</v>
      </c>
      <c r="BD67" s="33" t="s">
        <v>0</v>
      </c>
    </row>
    <row r="68" spans="30:56" ht="39.950000000000003" hidden="1" customHeight="1" x14ac:dyDescent="0.25">
      <c r="AD68" s="14">
        <f t="shared" ca="1" si="152"/>
        <v>111089.08789544959</v>
      </c>
      <c r="AE68" s="14">
        <f t="shared" si="153"/>
        <v>40830</v>
      </c>
      <c r="AF68" s="14">
        <f t="shared" ca="1" si="164"/>
        <v>70259.087895449586</v>
      </c>
      <c r="AG68" s="14">
        <f t="shared" ca="1" si="154"/>
        <v>-533.26647712646241</v>
      </c>
      <c r="AH68" s="14">
        <f t="shared" ca="1" si="165"/>
        <v>111089.08789544959</v>
      </c>
      <c r="AI68" s="14">
        <f t="shared" si="155"/>
        <v>4108</v>
      </c>
      <c r="AJ68" s="14">
        <f t="shared" ca="1" si="156"/>
        <v>106981.08789544959</v>
      </c>
      <c r="AK68" s="14">
        <f t="shared" ca="1" si="166"/>
        <v>-14977.352305362943</v>
      </c>
      <c r="AL68" s="14">
        <f t="shared" ca="1" si="167"/>
        <v>-1069.8108789544958</v>
      </c>
      <c r="AM68" s="14">
        <f t="shared" ca="1" si="157"/>
        <v>95041.924711132146</v>
      </c>
      <c r="AN68" s="14">
        <f t="shared" si="158"/>
        <v>9881.5349999999999</v>
      </c>
      <c r="AO68" s="14">
        <f t="shared" ca="1" si="168"/>
        <v>85160.389711132142</v>
      </c>
      <c r="AP68" s="14">
        <f ca="1">SUM($AO$59:AO68)</f>
        <v>835361.77077189519</v>
      </c>
      <c r="AQ68" s="29">
        <f t="shared" ca="1" si="159"/>
        <v>0.27</v>
      </c>
      <c r="AR68" s="25">
        <f t="shared" ca="1" si="169"/>
        <v>0</v>
      </c>
      <c r="AS68" s="31">
        <f t="shared" ca="1" si="160"/>
        <v>0.27</v>
      </c>
      <c r="AT68" s="14">
        <f t="shared" ca="1" si="171"/>
        <v>-22993.31</v>
      </c>
      <c r="AU68" s="14">
        <f t="shared" ca="1" si="161"/>
        <v>-17378.21</v>
      </c>
      <c r="AV68" s="31">
        <f t="shared" ca="1" si="162"/>
        <v>0.72241</v>
      </c>
      <c r="AW68" s="31">
        <f t="shared" si="170"/>
        <v>0.84240999999999999</v>
      </c>
      <c r="AX68" s="31">
        <f t="shared" ca="1" si="163"/>
        <v>0.61290999999999995</v>
      </c>
      <c r="AY68" s="35" t="s">
        <v>34</v>
      </c>
      <c r="AZ68" s="37" t="s">
        <v>39</v>
      </c>
      <c r="BB68" s="13">
        <v>66</v>
      </c>
      <c r="BC68" s="17">
        <v>33</v>
      </c>
      <c r="BD68" s="33" t="s">
        <v>0</v>
      </c>
    </row>
    <row r="69" spans="30:56" ht="39.950000000000003" hidden="1" customHeight="1" x14ac:dyDescent="0.25">
      <c r="AD69" s="14">
        <f t="shared" ca="1" si="152"/>
        <v>108160.93789544958</v>
      </c>
      <c r="AE69" s="14">
        <f t="shared" si="153"/>
        <v>40830</v>
      </c>
      <c r="AF69" s="14">
        <f t="shared" ca="1" si="164"/>
        <v>67330.937895449577</v>
      </c>
      <c r="AG69" s="14">
        <f t="shared" ca="1" si="154"/>
        <v>-511.04181862646232</v>
      </c>
      <c r="AH69" s="14">
        <f t="shared" ca="1" si="165"/>
        <v>108160.93789544958</v>
      </c>
      <c r="AI69" s="14">
        <f t="shared" si="155"/>
        <v>4108</v>
      </c>
      <c r="AJ69" s="14">
        <f t="shared" ca="1" si="156"/>
        <v>104052.93789544958</v>
      </c>
      <c r="AK69" s="14">
        <f t="shared" ca="1" si="166"/>
        <v>-14567.411305362943</v>
      </c>
      <c r="AL69" s="14">
        <f t="shared" ca="1" si="167"/>
        <v>-1040.5293789544958</v>
      </c>
      <c r="AM69" s="14">
        <f t="shared" ca="1" si="157"/>
        <v>92552.99721113214</v>
      </c>
      <c r="AN69" s="14">
        <f t="shared" si="158"/>
        <v>9881.5349999999999</v>
      </c>
      <c r="AO69" s="14">
        <f t="shared" ca="1" si="168"/>
        <v>82671.462211132137</v>
      </c>
      <c r="AP69" s="14">
        <f ca="1">SUM($AO$59:AO69)</f>
        <v>918033.23298302735</v>
      </c>
      <c r="AQ69" s="29">
        <f t="shared" ca="1" si="159"/>
        <v>0.27</v>
      </c>
      <c r="AR69" s="25">
        <f t="shared" ca="1" si="169"/>
        <v>0</v>
      </c>
      <c r="AS69" s="31">
        <f t="shared" ca="1" si="160"/>
        <v>0.27</v>
      </c>
      <c r="AT69" s="14">
        <f t="shared" ca="1" si="171"/>
        <v>-22321.29</v>
      </c>
      <c r="AU69" s="14">
        <f t="shared" ca="1" si="161"/>
        <v>-16706.190000000002</v>
      </c>
      <c r="AV69" s="31">
        <f t="shared" ca="1" si="162"/>
        <v>0.72241</v>
      </c>
      <c r="AW69" s="31">
        <f t="shared" si="170"/>
        <v>0.84240999999999999</v>
      </c>
      <c r="AX69" s="31">
        <f t="shared" ca="1" si="163"/>
        <v>0.61290999999999995</v>
      </c>
      <c r="AY69" s="35" t="s">
        <v>13</v>
      </c>
      <c r="AZ69" s="36" t="s">
        <v>96</v>
      </c>
      <c r="BB69" s="13">
        <v>67</v>
      </c>
      <c r="BC69" s="17">
        <v>33.5</v>
      </c>
      <c r="BD69" s="33" t="s">
        <v>0</v>
      </c>
    </row>
    <row r="70" spans="30:56" ht="39.950000000000003" hidden="1" customHeight="1" x14ac:dyDescent="0.25">
      <c r="AD70" s="14">
        <f t="shared" ca="1" si="152"/>
        <v>155011.33789544957</v>
      </c>
      <c r="AE70" s="14">
        <f t="shared" si="153"/>
        <v>40830</v>
      </c>
      <c r="AF70" s="14">
        <f t="shared" ca="1" si="164"/>
        <v>114181.33789544957</v>
      </c>
      <c r="AG70" s="14">
        <f t="shared" ca="1" si="154"/>
        <v>-866.63635462646232</v>
      </c>
      <c r="AH70" s="14">
        <f t="shared" ca="1" si="165"/>
        <v>155011.33789544957</v>
      </c>
      <c r="AI70" s="14">
        <f t="shared" si="155"/>
        <v>4108</v>
      </c>
      <c r="AJ70" s="14">
        <f t="shared" ca="1" si="156"/>
        <v>150903.33789544957</v>
      </c>
      <c r="AK70" s="14">
        <f t="shared" ca="1" si="166"/>
        <v>-21126.467305362941</v>
      </c>
      <c r="AL70" s="14">
        <f t="shared" ca="1" si="167"/>
        <v>-1509.0333789544957</v>
      </c>
      <c r="AM70" s="14">
        <f t="shared" ca="1" si="157"/>
        <v>132375.83721113214</v>
      </c>
      <c r="AN70" s="14">
        <f t="shared" si="158"/>
        <v>9881.5349999999999</v>
      </c>
      <c r="AO70" s="14">
        <f t="shared" ca="1" si="168"/>
        <v>122494.30221113213</v>
      </c>
      <c r="AP70" s="14">
        <f ca="1">SUM($AO$59:AO70)</f>
        <v>1040527.5351941595</v>
      </c>
      <c r="AQ70" s="29">
        <f t="shared" ca="1" si="159"/>
        <v>0.27</v>
      </c>
      <c r="AR70" s="25">
        <f t="shared" ca="1" si="169"/>
        <v>0</v>
      </c>
      <c r="AS70" s="31">
        <f t="shared" ca="1" si="160"/>
        <v>0.27</v>
      </c>
      <c r="AT70" s="14">
        <f t="shared" ca="1" si="171"/>
        <v>-33073.46</v>
      </c>
      <c r="AU70" s="14">
        <f t="shared" ca="1" si="161"/>
        <v>-27458.36</v>
      </c>
      <c r="AV70" s="31">
        <f t="shared" ca="1" si="162"/>
        <v>0.72241</v>
      </c>
      <c r="AW70" s="31">
        <f t="shared" si="170"/>
        <v>0.84240999999999999</v>
      </c>
      <c r="AX70" s="31">
        <f t="shared" ca="1" si="163"/>
        <v>0.61290999999999995</v>
      </c>
      <c r="AY70" s="35" t="s">
        <v>27</v>
      </c>
      <c r="AZ70" s="36" t="s">
        <v>97</v>
      </c>
      <c r="BB70" s="13">
        <v>68</v>
      </c>
      <c r="BC70" s="17">
        <v>34</v>
      </c>
      <c r="BD70" s="33" t="s">
        <v>0</v>
      </c>
    </row>
    <row r="71" spans="30:56" ht="39.950000000000003" hidden="1" customHeight="1" x14ac:dyDescent="0.25">
      <c r="AD71" s="14">
        <f t="shared" ref="AD71:AE71" ca="1" si="172">(AD59+AD60+AD61+AD62+AD63+AD64+AD65+AD66+AD67+AD68+AD69+AD70)</f>
        <v>1350885.8814048932</v>
      </c>
      <c r="AE71" s="14">
        <f t="shared" si="172"/>
        <v>489960</v>
      </c>
      <c r="AF71" s="14">
        <f t="shared" ref="AF71" ca="1" si="173">(AF59+AF60+AF61+AF62+AF63+AF64+AF65+AF66+AF67+AF68+AF69+AF70)</f>
        <v>860925.88140489347</v>
      </c>
      <c r="AG71" s="14">
        <f t="shared" ref="AG71" ca="1" si="174">(AG59+AG60+AG61+AG62+AG63+AG64+AG65+AG66+AG67+AG68+AG69+AG70)</f>
        <v>-6534.4274398631414</v>
      </c>
      <c r="AH71" s="14">
        <f t="shared" ref="AH71" ca="1" si="175">(AH59+AH60+AH61+AH62+AH63+AH64+AH65+AH66+AH67+AH68+AH69+AH70)</f>
        <v>1350885.8814048932</v>
      </c>
      <c r="AI71" s="14">
        <f t="shared" ref="AI71" si="176">(AI59+AI60+AI61+AI62+AI63+AI64+AI65+AI66+AI67+AI68+AI69+AI70)</f>
        <v>49296</v>
      </c>
      <c r="AJ71" s="14">
        <f t="shared" ref="AJ71" ca="1" si="177">(AJ59+AJ60+AJ61+AJ62+AJ63+AJ64+AJ65+AJ66+AJ67+AJ68+AJ69+AJ70)</f>
        <v>1301589.8814048932</v>
      </c>
      <c r="AK71" s="14">
        <f t="shared" ref="AK71" ca="1" si="178">(AK59+AK60+AK61+AK62+AK63+AK64+AK65+AK66+AK67+AK68+AK69+AK70)</f>
        <v>-182222.58339668508</v>
      </c>
      <c r="AL71" s="14">
        <f t="shared" ref="AL71" ca="1" si="179">(AL59+AL60+AL61+AL62+AL63+AL64+AL65+AL66+AL67+AL68+AL69+AL70)</f>
        <v>-13015.898814048935</v>
      </c>
      <c r="AM71" s="14">
        <f t="shared" ref="AM71:AO71" ca="1" si="180">(AM59+AM60+AM61+AM62+AM63+AM64+AM65+AM66+AM67+AM68+AM69+AM70)</f>
        <v>1155647.3991941593</v>
      </c>
      <c r="AN71" s="14">
        <f t="shared" ref="AN71" si="181">(AN59+AN60+AN61+AN62+AN63+AN64+AN65+AN66+AN67+AN68+AN69+AN70)</f>
        <v>115119.864</v>
      </c>
      <c r="AO71" s="14">
        <f t="shared" ca="1" si="180"/>
        <v>1040527.5351941595</v>
      </c>
      <c r="AP71" s="19" t="s">
        <v>0</v>
      </c>
      <c r="AQ71" s="13" t="s">
        <v>0</v>
      </c>
      <c r="AR71" s="13" t="s">
        <v>0</v>
      </c>
      <c r="AS71" s="16">
        <f t="shared" ref="AS71:AT71" ca="1" si="182">(AS59+AS60+AS61+AS62+AS63+AS64+AS65+AS66+AS67+AS68+AS69+AS70)</f>
        <v>2.7434606477796137</v>
      </c>
      <c r="AT71" s="14">
        <f t="shared" ca="1" si="182"/>
        <v>-243442.41999999998</v>
      </c>
      <c r="AU71" s="14">
        <f t="shared" ref="AU71" ca="1" si="183">(AU59+AU60+AU61+AU62+AU63+AU64+AU65+AU66+AU67+AU68+AU69+AU70)</f>
        <v>-185561.19</v>
      </c>
      <c r="AV71" s="13" t="s">
        <v>0</v>
      </c>
      <c r="AW71" s="13" t="s">
        <v>0</v>
      </c>
      <c r="AX71" s="13" t="s">
        <v>0</v>
      </c>
      <c r="AY71" s="38" t="s">
        <v>29</v>
      </c>
      <c r="AZ71" s="37" t="s">
        <v>43</v>
      </c>
      <c r="BB71" s="13">
        <v>69</v>
      </c>
      <c r="BC71" s="17">
        <v>34.5</v>
      </c>
      <c r="BD71" s="33" t="s">
        <v>0</v>
      </c>
    </row>
    <row r="72" spans="30:56" ht="39.950000000000003" hidden="1" customHeight="1" x14ac:dyDescent="0.25">
      <c r="AD72" s="14">
        <f t="shared" ref="AD72:AE72" ca="1" si="184">(AD71/12)</f>
        <v>112573.82345040777</v>
      </c>
      <c r="AE72" s="14">
        <f t="shared" si="184"/>
        <v>40830</v>
      </c>
      <c r="AF72" s="14">
        <f t="shared" ref="AF72" ca="1" si="185">(AF71/12)</f>
        <v>71743.823450407785</v>
      </c>
      <c r="AG72" s="14">
        <f t="shared" ref="AG72" ca="1" si="186">(AG71/12)</f>
        <v>-544.53561998859516</v>
      </c>
      <c r="AH72" s="14">
        <f t="shared" ref="AH72" ca="1" si="187">(AH71/12)</f>
        <v>112573.82345040777</v>
      </c>
      <c r="AI72" s="14">
        <f t="shared" ref="AI72" si="188">(AI71/12)</f>
        <v>4108</v>
      </c>
      <c r="AJ72" s="14">
        <f t="shared" ref="AJ72" ca="1" si="189">(AJ71/12)</f>
        <v>108465.82345040777</v>
      </c>
      <c r="AK72" s="14">
        <f t="shared" ref="AK72" ca="1" si="190">(AK71/12)</f>
        <v>-15185.21528305709</v>
      </c>
      <c r="AL72" s="14">
        <f t="shared" ref="AL72" ca="1" si="191">(AL71/12)</f>
        <v>-1084.6582345040779</v>
      </c>
      <c r="AM72" s="14">
        <f t="shared" ref="AM72:AO72" ca="1" si="192">(AM71/12)</f>
        <v>96303.949932846604</v>
      </c>
      <c r="AN72" s="14">
        <f t="shared" ref="AN72" si="193">(AN71/12)</f>
        <v>9593.3220000000001</v>
      </c>
      <c r="AO72" s="14">
        <f t="shared" ca="1" si="192"/>
        <v>86710.627932846619</v>
      </c>
      <c r="AP72" s="19" t="s">
        <v>0</v>
      </c>
      <c r="AQ72" s="19" t="s">
        <v>0</v>
      </c>
      <c r="AR72" s="19" t="s">
        <v>0</v>
      </c>
      <c r="AS72" s="16">
        <f t="shared" ref="AS72:AT72" ca="1" si="194">(AS71/12)</f>
        <v>0.22862172064830114</v>
      </c>
      <c r="AT72" s="14">
        <f t="shared" ca="1" si="194"/>
        <v>-20286.868333333332</v>
      </c>
      <c r="AU72" s="14">
        <f t="shared" ref="AU72" ca="1" si="195">(AU71/12)</f>
        <v>-15463.432500000001</v>
      </c>
      <c r="AV72" s="19" t="s">
        <v>0</v>
      </c>
      <c r="AW72" s="19" t="s">
        <v>0</v>
      </c>
      <c r="AX72" s="19" t="s">
        <v>0</v>
      </c>
      <c r="AY72" s="35" t="s">
        <v>35</v>
      </c>
      <c r="AZ72" s="36" t="s">
        <v>42</v>
      </c>
      <c r="BB72" s="13">
        <v>70</v>
      </c>
      <c r="BC72" s="17">
        <v>35</v>
      </c>
      <c r="BD72" s="33" t="s">
        <v>0</v>
      </c>
    </row>
    <row r="73" spans="30:56" ht="39.950000000000003" hidden="1" customHeight="1" x14ac:dyDescent="0.25">
      <c r="AD73" s="14">
        <f t="shared" ref="AD73:AD84" ca="1" si="196">(AD59)</f>
        <v>84507.960483417482</v>
      </c>
      <c r="AE73" s="14">
        <f ca="1">(AD73*0.205)</f>
        <v>17324.131899100583</v>
      </c>
      <c r="AF73" s="14">
        <f ca="1">(AD73*0.01)</f>
        <v>845.0796048341748</v>
      </c>
      <c r="AG73" s="14">
        <f ca="1">(AD73*0.05*-1)</f>
        <v>-4225.3980241708741</v>
      </c>
      <c r="AH73" s="14">
        <f ca="1">(AD73+AE73+AF73+AG73)</f>
        <v>98451.77396318136</v>
      </c>
      <c r="BB73" s="13">
        <v>71</v>
      </c>
      <c r="BC73" s="17">
        <v>35.5</v>
      </c>
      <c r="BD73" s="33" t="s">
        <v>0</v>
      </c>
    </row>
    <row r="74" spans="30:56" ht="39.950000000000003" hidden="1" customHeight="1" x14ac:dyDescent="0.25">
      <c r="AD74" s="14">
        <f t="shared" ca="1" si="196"/>
        <v>82726.51356058805</v>
      </c>
      <c r="AE74" s="14">
        <f t="shared" ref="AE74:AE84" ca="1" si="197">(AD74*0.205)</f>
        <v>16958.935279920548</v>
      </c>
      <c r="AF74" s="14">
        <f t="shared" ref="AF74:AF84" ca="1" si="198">(AD74*0.01)</f>
        <v>827.26513560588046</v>
      </c>
      <c r="AG74" s="14">
        <f t="shared" ref="AG74:AG84" ca="1" si="199">(AD74*0.05*-1)</f>
        <v>-4136.3256780294023</v>
      </c>
      <c r="AH74" s="14">
        <f t="shared" ref="AH74:AH84" ca="1" si="200">(AD74+AE74+AF74+AG74)</f>
        <v>96376.388298085076</v>
      </c>
      <c r="BB74" s="13">
        <v>72</v>
      </c>
      <c r="BC74" s="17">
        <v>36</v>
      </c>
      <c r="BD74" s="33" t="s">
        <v>0</v>
      </c>
    </row>
    <row r="75" spans="30:56" ht="39.950000000000003" hidden="1" customHeight="1" x14ac:dyDescent="0.25">
      <c r="AD75" s="14">
        <f t="shared" ca="1" si="196"/>
        <v>132843.05655884152</v>
      </c>
      <c r="AE75" s="14">
        <f t="shared" ca="1" si="197"/>
        <v>27232.82659456251</v>
      </c>
      <c r="AF75" s="14">
        <f t="shared" ca="1" si="198"/>
        <v>1328.4305655884152</v>
      </c>
      <c r="AG75" s="14">
        <f t="shared" ca="1" si="199"/>
        <v>-6642.1528279420763</v>
      </c>
      <c r="AH75" s="14">
        <f t="shared" ca="1" si="200"/>
        <v>154762.16089105036</v>
      </c>
      <c r="BB75" s="13">
        <v>73</v>
      </c>
      <c r="BC75" s="17">
        <v>36.5</v>
      </c>
      <c r="BD75" s="33" t="s">
        <v>0</v>
      </c>
    </row>
    <row r="76" spans="30:56" ht="39.950000000000003" hidden="1" customHeight="1" x14ac:dyDescent="0.25">
      <c r="AD76" s="14">
        <f t="shared" ca="1" si="196"/>
        <v>96226.895616513735</v>
      </c>
      <c r="AE76" s="14">
        <f t="shared" ca="1" si="197"/>
        <v>19726.513601385315</v>
      </c>
      <c r="AF76" s="14">
        <f t="shared" ca="1" si="198"/>
        <v>962.26895616513741</v>
      </c>
      <c r="AG76" s="14">
        <f t="shared" ca="1" si="199"/>
        <v>-4811.3447808256869</v>
      </c>
      <c r="AH76" s="14">
        <f t="shared" ca="1" si="200"/>
        <v>112104.3333932385</v>
      </c>
      <c r="BB76" s="13">
        <v>74</v>
      </c>
      <c r="BC76" s="17">
        <v>37</v>
      </c>
      <c r="BD76" s="33" t="s">
        <v>0</v>
      </c>
    </row>
    <row r="77" spans="30:56" ht="39.950000000000003" hidden="1" customHeight="1" x14ac:dyDescent="0.25">
      <c r="AD77" s="14">
        <f t="shared" ca="1" si="196"/>
        <v>98773.115616513736</v>
      </c>
      <c r="AE77" s="14">
        <f t="shared" ca="1" si="197"/>
        <v>20248.488701385315</v>
      </c>
      <c r="AF77" s="14">
        <f t="shared" ca="1" si="198"/>
        <v>987.73115616513735</v>
      </c>
      <c r="AG77" s="14">
        <f t="shared" ca="1" si="199"/>
        <v>-4938.6557808256875</v>
      </c>
      <c r="AH77" s="14">
        <f t="shared" ca="1" si="200"/>
        <v>115070.6796932385</v>
      </c>
      <c r="BB77" s="13">
        <v>75</v>
      </c>
      <c r="BC77" s="17">
        <v>37.5</v>
      </c>
      <c r="BD77" s="33" t="s">
        <v>0</v>
      </c>
    </row>
    <row r="78" spans="30:56" ht="39.950000000000003" hidden="1" customHeight="1" x14ac:dyDescent="0.25">
      <c r="AD78" s="14">
        <f t="shared" ca="1" si="196"/>
        <v>134784.57219632142</v>
      </c>
      <c r="AE78" s="14">
        <f t="shared" ca="1" si="197"/>
        <v>27630.83730024589</v>
      </c>
      <c r="AF78" s="14">
        <f t="shared" ca="1" si="198"/>
        <v>1347.8457219632141</v>
      </c>
      <c r="AG78" s="14">
        <f t="shared" ca="1" si="199"/>
        <v>-6739.2286098160712</v>
      </c>
      <c r="AH78" s="14">
        <f t="shared" ca="1" si="200"/>
        <v>157024.02660871443</v>
      </c>
      <c r="BB78" s="13">
        <v>76</v>
      </c>
      <c r="BC78" s="17">
        <v>38</v>
      </c>
      <c r="BD78" s="33" t="s">
        <v>0</v>
      </c>
    </row>
    <row r="79" spans="30:56" ht="39.950000000000003" hidden="1" customHeight="1" x14ac:dyDescent="0.25">
      <c r="AD79" s="14">
        <f t="shared" ca="1" si="196"/>
        <v>99249.257895449569</v>
      </c>
      <c r="AE79" s="14">
        <f t="shared" ca="1" si="197"/>
        <v>20346.097868567162</v>
      </c>
      <c r="AF79" s="14">
        <f t="shared" ca="1" si="198"/>
        <v>992.49257895449568</v>
      </c>
      <c r="AG79" s="14">
        <f t="shared" ca="1" si="199"/>
        <v>-4962.4628947724786</v>
      </c>
      <c r="AH79" s="14">
        <f t="shared" ca="1" si="200"/>
        <v>115625.38544819874</v>
      </c>
      <c r="BB79" s="13">
        <v>77</v>
      </c>
      <c r="BC79" s="17">
        <v>38.5</v>
      </c>
      <c r="BD79" s="33" t="s">
        <v>0</v>
      </c>
    </row>
    <row r="80" spans="30:56" ht="39.950000000000003" hidden="1" customHeight="1" x14ac:dyDescent="0.25">
      <c r="AD80" s="14">
        <f t="shared" ca="1" si="196"/>
        <v>99249.257895449569</v>
      </c>
      <c r="AE80" s="14">
        <f t="shared" ca="1" si="197"/>
        <v>20346.097868567162</v>
      </c>
      <c r="AF80" s="14">
        <f t="shared" ca="1" si="198"/>
        <v>992.49257895449568</v>
      </c>
      <c r="AG80" s="14">
        <f t="shared" ca="1" si="199"/>
        <v>-4962.4628947724786</v>
      </c>
      <c r="AH80" s="14">
        <f t="shared" ca="1" si="200"/>
        <v>115625.38544819874</v>
      </c>
      <c r="BB80" s="13">
        <v>78</v>
      </c>
      <c r="BC80" s="17">
        <v>39</v>
      </c>
      <c r="BD80" s="33" t="s">
        <v>0</v>
      </c>
    </row>
    <row r="81" spans="30:56" ht="39.950000000000003" hidden="1" customHeight="1" x14ac:dyDescent="0.25">
      <c r="AD81" s="14">
        <f t="shared" ca="1" si="196"/>
        <v>148263.88789544956</v>
      </c>
      <c r="AE81" s="14">
        <f t="shared" ca="1" si="197"/>
        <v>30394.097018567158</v>
      </c>
      <c r="AF81" s="14">
        <f t="shared" ca="1" si="198"/>
        <v>1482.6388789544956</v>
      </c>
      <c r="AG81" s="14">
        <f t="shared" ca="1" si="199"/>
        <v>-7413.1943947724785</v>
      </c>
      <c r="AH81" s="14">
        <f t="shared" ca="1" si="200"/>
        <v>172727.42939819873</v>
      </c>
      <c r="BB81" s="13">
        <v>79</v>
      </c>
      <c r="BC81" s="17">
        <v>39.5</v>
      </c>
      <c r="BD81" s="33" t="s">
        <v>0</v>
      </c>
    </row>
    <row r="82" spans="30:56" ht="39.950000000000003" hidden="1" customHeight="1" x14ac:dyDescent="0.25">
      <c r="AD82" s="14">
        <f t="shared" ca="1" si="196"/>
        <v>111089.08789544959</v>
      </c>
      <c r="AE82" s="14">
        <f t="shared" ca="1" si="197"/>
        <v>22773.263018567162</v>
      </c>
      <c r="AF82" s="14">
        <f t="shared" ca="1" si="198"/>
        <v>1110.890878954496</v>
      </c>
      <c r="AG82" s="14">
        <f t="shared" ca="1" si="199"/>
        <v>-5554.4543947724796</v>
      </c>
      <c r="AH82" s="14">
        <f t="shared" ca="1" si="200"/>
        <v>129418.78739819877</v>
      </c>
      <c r="BB82" s="13">
        <v>80</v>
      </c>
      <c r="BC82" s="17">
        <v>40</v>
      </c>
      <c r="BD82" s="33" t="s">
        <v>0</v>
      </c>
    </row>
    <row r="83" spans="30:56" ht="39.950000000000003" hidden="1" customHeight="1" x14ac:dyDescent="0.25">
      <c r="AD83" s="14">
        <f t="shared" ca="1" si="196"/>
        <v>108160.93789544958</v>
      </c>
      <c r="AE83" s="14">
        <f t="shared" ca="1" si="197"/>
        <v>22172.992268567163</v>
      </c>
      <c r="AF83" s="14">
        <f t="shared" ca="1" si="198"/>
        <v>1081.6093789544957</v>
      </c>
      <c r="AG83" s="14">
        <f t="shared" ca="1" si="199"/>
        <v>-5408.0468947724794</v>
      </c>
      <c r="AH83" s="14">
        <f t="shared" ca="1" si="200"/>
        <v>126007.49264819876</v>
      </c>
      <c r="BB83" s="13">
        <v>81</v>
      </c>
      <c r="BC83" s="17">
        <v>40.5</v>
      </c>
      <c r="BD83" s="33" t="s">
        <v>0</v>
      </c>
    </row>
    <row r="84" spans="30:56" ht="39.950000000000003" hidden="1" customHeight="1" x14ac:dyDescent="0.25">
      <c r="AD84" s="14">
        <f t="shared" ca="1" si="196"/>
        <v>155011.33789544957</v>
      </c>
      <c r="AE84" s="14">
        <f t="shared" ca="1" si="197"/>
        <v>31777.324268567161</v>
      </c>
      <c r="AF84" s="14">
        <f t="shared" ca="1" si="198"/>
        <v>1550.1133789544958</v>
      </c>
      <c r="AG84" s="14">
        <f t="shared" ca="1" si="199"/>
        <v>-7750.5668947724789</v>
      </c>
      <c r="AH84" s="14">
        <f t="shared" ca="1" si="200"/>
        <v>180588.20864819875</v>
      </c>
      <c r="BB84" s="13">
        <v>82</v>
      </c>
      <c r="BC84" s="17">
        <v>41</v>
      </c>
      <c r="BD84" s="33" t="s">
        <v>0</v>
      </c>
    </row>
    <row r="85" spans="30:56" ht="39.950000000000003" hidden="1" customHeight="1" x14ac:dyDescent="0.25">
      <c r="AD85" s="14">
        <f t="shared" ref="AD85" ca="1" si="201">(AD73+AD74+AD75+AD76+AD77+AD78+AD79+AD80+AD81+AD82+AD83+AD84)</f>
        <v>1350885.8814048932</v>
      </c>
      <c r="AE85" s="14">
        <f t="shared" ref="AE85" ca="1" si="202">(AE73+AE74+AE75+AE76+AE77+AE78+AE79+AE80+AE81+AE82+AE83+AE84)</f>
        <v>276931.60568800312</v>
      </c>
      <c r="AF85" s="14">
        <f t="shared" ref="AF85" ca="1" si="203">(AF73+AF74+AF75+AF76+AF77+AF78+AF79+AF80+AF81+AF82+AF83+AF84)</f>
        <v>13508.858814048936</v>
      </c>
      <c r="AG85" s="14">
        <f t="shared" ref="AG85" ca="1" si="204">(AG73+AG74+AG75+AG76+AG77+AG78+AG79+AG80+AG81+AG82+AG83+AG84)</f>
        <v>-67544.294070244679</v>
      </c>
      <c r="AH85" s="14">
        <f t="shared" ref="AH85" ca="1" si="205">(AH73+AH74+AH75+AH76+AH77+AH78+AH79+AH80+AH81+AH82+AH83+AH84)</f>
        <v>1573782.0518367009</v>
      </c>
      <c r="BB85" s="13">
        <v>83</v>
      </c>
      <c r="BC85" s="17">
        <v>41.5</v>
      </c>
      <c r="BD85" s="33" t="s">
        <v>0</v>
      </c>
    </row>
    <row r="86" spans="30:56" ht="39.950000000000003" hidden="1" customHeight="1" x14ac:dyDescent="0.25">
      <c r="AD86" s="14">
        <f t="shared" ref="AD86" ca="1" si="206">(AD85/12)</f>
        <v>112573.82345040777</v>
      </c>
      <c r="AE86" s="14">
        <f t="shared" ref="AE86" ca="1" si="207">(AE85/12)</f>
        <v>23077.633807333594</v>
      </c>
      <c r="AF86" s="14">
        <f t="shared" ref="AF86" ca="1" si="208">(AF85/12)</f>
        <v>1125.738234504078</v>
      </c>
      <c r="AG86" s="14">
        <f t="shared" ref="AG86" ca="1" si="209">(AG85/12)</f>
        <v>-5628.69117252039</v>
      </c>
      <c r="AH86" s="14">
        <f t="shared" ref="AH86" ca="1" si="210">(AH85/12)</f>
        <v>131148.50431972506</v>
      </c>
      <c r="BB86" s="13">
        <v>84</v>
      </c>
      <c r="BC86" s="17">
        <v>42</v>
      </c>
      <c r="BD86" s="33" t="s">
        <v>0</v>
      </c>
    </row>
    <row r="87" spans="30:56" ht="39.950000000000003" hidden="1" customHeight="1" x14ac:dyDescent="0.25">
      <c r="BB87" s="13">
        <v>85</v>
      </c>
      <c r="BC87" s="17">
        <v>42.5</v>
      </c>
      <c r="BD87" s="33" t="s">
        <v>0</v>
      </c>
    </row>
    <row r="88" spans="30:56" ht="39.950000000000003" hidden="1" customHeight="1" x14ac:dyDescent="0.25">
      <c r="BB88" s="13">
        <v>86</v>
      </c>
      <c r="BC88" s="17">
        <v>43</v>
      </c>
      <c r="BD88" s="33" t="s">
        <v>0</v>
      </c>
    </row>
    <row r="89" spans="30:56" ht="39.950000000000003" hidden="1" customHeight="1" x14ac:dyDescent="0.25">
      <c r="BB89" s="13">
        <v>87</v>
      </c>
      <c r="BC89" s="17">
        <v>43.5</v>
      </c>
      <c r="BD89" s="33" t="s">
        <v>0</v>
      </c>
    </row>
    <row r="90" spans="30:56" ht="39.950000000000003" hidden="1" customHeight="1" x14ac:dyDescent="0.25">
      <c r="BB90" s="13">
        <v>88</v>
      </c>
      <c r="BC90" s="17">
        <v>44</v>
      </c>
      <c r="BD90" s="33" t="s">
        <v>0</v>
      </c>
    </row>
    <row r="91" spans="30:56" ht="39.950000000000003" hidden="1" customHeight="1" x14ac:dyDescent="0.25">
      <c r="BB91" s="13">
        <v>89</v>
      </c>
      <c r="BC91" s="17">
        <v>44.5</v>
      </c>
      <c r="BD91" s="33" t="s">
        <v>0</v>
      </c>
    </row>
    <row r="92" spans="30:56" ht="39.950000000000003" hidden="1" customHeight="1" x14ac:dyDescent="0.25">
      <c r="BB92" s="13">
        <v>90</v>
      </c>
      <c r="BC92" s="17">
        <v>45</v>
      </c>
      <c r="BD92" s="33" t="s">
        <v>0</v>
      </c>
    </row>
    <row r="93" spans="30:56" ht="39.950000000000003" hidden="1" customHeight="1" x14ac:dyDescent="0.25">
      <c r="BB93" s="13">
        <v>91</v>
      </c>
      <c r="BC93" s="17">
        <v>45.5</v>
      </c>
      <c r="BD93" s="33" t="s">
        <v>0</v>
      </c>
    </row>
    <row r="94" spans="30:56" ht="39.950000000000003" hidden="1" customHeight="1" x14ac:dyDescent="0.25">
      <c r="BB94" s="13">
        <v>92</v>
      </c>
      <c r="BC94" s="17">
        <v>46</v>
      </c>
      <c r="BD94" s="33" t="s">
        <v>0</v>
      </c>
    </row>
    <row r="95" spans="30:56" ht="39.950000000000003" hidden="1" customHeight="1" x14ac:dyDescent="0.25">
      <c r="BB95" s="13">
        <v>93</v>
      </c>
      <c r="BC95" s="17">
        <v>46.5</v>
      </c>
      <c r="BD95" s="33" t="s">
        <v>0</v>
      </c>
    </row>
    <row r="96" spans="30:56" ht="39.950000000000003" hidden="1" customHeight="1" x14ac:dyDescent="0.25">
      <c r="BB96" s="13">
        <v>94</v>
      </c>
      <c r="BC96" s="17">
        <v>47</v>
      </c>
      <c r="BD96" s="33" t="s">
        <v>0</v>
      </c>
    </row>
    <row r="97" spans="54:56" ht="39.950000000000003" hidden="1" customHeight="1" x14ac:dyDescent="0.25">
      <c r="BB97" s="13">
        <v>95</v>
      </c>
      <c r="BC97" s="17">
        <v>47.5</v>
      </c>
      <c r="BD97" s="33" t="s">
        <v>0</v>
      </c>
    </row>
    <row r="98" spans="54:56" ht="39.950000000000003" hidden="1" customHeight="1" x14ac:dyDescent="0.25">
      <c r="BB98" s="13">
        <v>96</v>
      </c>
      <c r="BC98" s="17">
        <v>48</v>
      </c>
      <c r="BD98" s="33" t="s">
        <v>0</v>
      </c>
    </row>
    <row r="99" spans="54:56" ht="39.950000000000003" hidden="1" customHeight="1" x14ac:dyDescent="0.25">
      <c r="BB99" s="13">
        <v>97</v>
      </c>
      <c r="BC99" s="17">
        <v>48.5</v>
      </c>
      <c r="BD99" s="33" t="s">
        <v>0</v>
      </c>
    </row>
    <row r="100" spans="54:56" ht="39.950000000000003" hidden="1" customHeight="1" x14ac:dyDescent="0.25">
      <c r="BB100" s="13">
        <v>98</v>
      </c>
      <c r="BC100" s="17">
        <v>49</v>
      </c>
      <c r="BD100" s="33" t="s">
        <v>0</v>
      </c>
    </row>
    <row r="101" spans="54:56" ht="39.950000000000003" hidden="1" customHeight="1" x14ac:dyDescent="0.25">
      <c r="BB101" s="13">
        <v>99</v>
      </c>
      <c r="BC101" s="17">
        <v>49.5</v>
      </c>
      <c r="BD101" s="33" t="s">
        <v>0</v>
      </c>
    </row>
    <row r="102" spans="54:56" ht="39.950000000000003" hidden="1" customHeight="1" x14ac:dyDescent="0.25">
      <c r="BB102" s="13">
        <v>100</v>
      </c>
      <c r="BC102" s="17">
        <v>50</v>
      </c>
      <c r="BD102" s="33" t="s">
        <v>0</v>
      </c>
    </row>
    <row r="103" spans="54:56" ht="39.950000000000003" hidden="1" customHeight="1" x14ac:dyDescent="0.25">
      <c r="BB103" s="13">
        <v>101</v>
      </c>
      <c r="BC103" s="17">
        <v>50.5</v>
      </c>
      <c r="BD103" s="33" t="s">
        <v>0</v>
      </c>
    </row>
    <row r="104" spans="54:56" ht="39.950000000000003" hidden="1" customHeight="1" x14ac:dyDescent="0.25">
      <c r="BB104" s="13">
        <v>102</v>
      </c>
      <c r="BC104" s="17">
        <v>51</v>
      </c>
      <c r="BD104" s="33" t="s">
        <v>0</v>
      </c>
    </row>
    <row r="105" spans="54:56" ht="39.950000000000003" hidden="1" customHeight="1" x14ac:dyDescent="0.25">
      <c r="BB105" s="13">
        <v>103</v>
      </c>
      <c r="BC105" s="17">
        <v>51.5</v>
      </c>
      <c r="BD105" s="33" t="s">
        <v>0</v>
      </c>
    </row>
    <row r="106" spans="54:56" ht="39.950000000000003" hidden="1" customHeight="1" x14ac:dyDescent="0.25">
      <c r="BB106" s="13">
        <v>104</v>
      </c>
      <c r="BC106" s="17">
        <v>52</v>
      </c>
      <c r="BD106" s="33" t="s">
        <v>0</v>
      </c>
    </row>
    <row r="107" spans="54:56" ht="39.950000000000003" hidden="1" customHeight="1" x14ac:dyDescent="0.25">
      <c r="BB107" s="13">
        <v>105</v>
      </c>
      <c r="BC107" s="17">
        <v>52.5</v>
      </c>
      <c r="BD107" s="33" t="s">
        <v>0</v>
      </c>
    </row>
    <row r="108" spans="54:56" ht="39.950000000000003" hidden="1" customHeight="1" x14ac:dyDescent="0.25">
      <c r="BB108" s="13">
        <v>106</v>
      </c>
      <c r="BC108" s="17">
        <v>53</v>
      </c>
      <c r="BD108" s="33" t="s">
        <v>0</v>
      </c>
    </row>
    <row r="109" spans="54:56" ht="39.950000000000003" hidden="1" customHeight="1" x14ac:dyDescent="0.25">
      <c r="BB109" s="13">
        <v>107</v>
      </c>
      <c r="BC109" s="17">
        <v>53.5</v>
      </c>
      <c r="BD109" s="33" t="s">
        <v>0</v>
      </c>
    </row>
    <row r="110" spans="54:56" ht="39.950000000000003" hidden="1" customHeight="1" x14ac:dyDescent="0.25">
      <c r="BB110" s="13">
        <v>108</v>
      </c>
      <c r="BC110" s="17">
        <v>54</v>
      </c>
      <c r="BD110" s="33" t="s">
        <v>0</v>
      </c>
    </row>
    <row r="111" spans="54:56" ht="39.950000000000003" hidden="1" customHeight="1" x14ac:dyDescent="0.25">
      <c r="BB111" s="13">
        <v>109</v>
      </c>
      <c r="BC111" s="17">
        <v>54.5</v>
      </c>
      <c r="BD111" s="33" t="s">
        <v>0</v>
      </c>
    </row>
    <row r="112" spans="54:56" ht="39.950000000000003" hidden="1" customHeight="1" x14ac:dyDescent="0.25">
      <c r="BB112" s="13">
        <v>110</v>
      </c>
      <c r="BC112" s="17">
        <v>55</v>
      </c>
      <c r="BD112" s="33" t="s">
        <v>0</v>
      </c>
    </row>
    <row r="113" spans="54:56" ht="39.950000000000003" hidden="1" customHeight="1" x14ac:dyDescent="0.25">
      <c r="BB113" s="13">
        <v>111</v>
      </c>
      <c r="BC113" s="17">
        <v>55.5</v>
      </c>
      <c r="BD113" s="33" t="s">
        <v>0</v>
      </c>
    </row>
    <row r="114" spans="54:56" ht="39.950000000000003" hidden="1" customHeight="1" x14ac:dyDescent="0.25">
      <c r="BB114" s="13">
        <v>112</v>
      </c>
      <c r="BC114" s="17">
        <v>56</v>
      </c>
      <c r="BD114" s="33" t="s">
        <v>0</v>
      </c>
    </row>
    <row r="115" spans="54:56" ht="39.950000000000003" hidden="1" customHeight="1" x14ac:dyDescent="0.25">
      <c r="BB115" s="13">
        <v>113</v>
      </c>
      <c r="BC115" s="17">
        <v>56.5</v>
      </c>
      <c r="BD115" s="33" t="s">
        <v>0</v>
      </c>
    </row>
    <row r="116" spans="54:56" ht="39.950000000000003" hidden="1" customHeight="1" x14ac:dyDescent="0.25">
      <c r="BB116" s="13">
        <v>114</v>
      </c>
      <c r="BC116" s="17">
        <v>57</v>
      </c>
      <c r="BD116" s="33" t="s">
        <v>0</v>
      </c>
    </row>
    <row r="117" spans="54:56" ht="39.950000000000003" hidden="1" customHeight="1" x14ac:dyDescent="0.25">
      <c r="BB117" s="13">
        <v>115</v>
      </c>
      <c r="BC117" s="17">
        <v>57.5</v>
      </c>
      <c r="BD117" s="33" t="s">
        <v>0</v>
      </c>
    </row>
    <row r="118" spans="54:56" ht="39.950000000000003" hidden="1" customHeight="1" x14ac:dyDescent="0.25">
      <c r="BB118" s="13">
        <v>116</v>
      </c>
      <c r="BC118" s="17">
        <v>58</v>
      </c>
      <c r="BD118" s="33" t="s">
        <v>0</v>
      </c>
    </row>
    <row r="119" spans="54:56" ht="39.950000000000003" hidden="1" customHeight="1" x14ac:dyDescent="0.25">
      <c r="BB119" s="13">
        <v>117</v>
      </c>
      <c r="BC119" s="17">
        <v>58.5</v>
      </c>
      <c r="BD119" s="33" t="s">
        <v>0</v>
      </c>
    </row>
    <row r="120" spans="54:56" ht="39.950000000000003" hidden="1" customHeight="1" x14ac:dyDescent="0.25">
      <c r="BB120" s="13">
        <v>118</v>
      </c>
      <c r="BC120" s="17">
        <v>59</v>
      </c>
      <c r="BD120" s="33" t="s">
        <v>0</v>
      </c>
    </row>
    <row r="121" spans="54:56" ht="39.950000000000003" hidden="1" customHeight="1" x14ac:dyDescent="0.25">
      <c r="BB121" s="13">
        <v>119</v>
      </c>
      <c r="BC121" s="17">
        <v>59.5</v>
      </c>
      <c r="BD121" s="33" t="s">
        <v>0</v>
      </c>
    </row>
    <row r="122" spans="54:56" ht="39.950000000000003" hidden="1" customHeight="1" x14ac:dyDescent="0.25">
      <c r="BB122" s="13">
        <v>120</v>
      </c>
      <c r="BC122" s="17">
        <v>60</v>
      </c>
      <c r="BD122" s="33" t="s">
        <v>0</v>
      </c>
    </row>
    <row r="123" spans="54:56" ht="39.950000000000003" hidden="1" customHeight="1" x14ac:dyDescent="0.25">
      <c r="BB123" s="13">
        <v>121</v>
      </c>
      <c r="BC123" s="17">
        <v>60.5</v>
      </c>
      <c r="BD123" s="33" t="s">
        <v>0</v>
      </c>
    </row>
    <row r="124" spans="54:56" ht="39.950000000000003" hidden="1" customHeight="1" x14ac:dyDescent="0.25">
      <c r="BB124" s="13">
        <v>122</v>
      </c>
      <c r="BC124" s="17">
        <v>61</v>
      </c>
      <c r="BD124" s="33" t="s">
        <v>0</v>
      </c>
    </row>
    <row r="125" spans="54:56" ht="39.950000000000003" hidden="1" customHeight="1" x14ac:dyDescent="0.25">
      <c r="BB125" s="13">
        <v>123</v>
      </c>
      <c r="BC125" s="17">
        <v>61.5</v>
      </c>
      <c r="BD125" s="33" t="s">
        <v>0</v>
      </c>
    </row>
    <row r="126" spans="54:56" ht="39.950000000000003" hidden="1" customHeight="1" x14ac:dyDescent="0.25">
      <c r="BB126" s="13">
        <v>124</v>
      </c>
      <c r="BC126" s="17">
        <v>62</v>
      </c>
      <c r="BD126" s="33" t="s">
        <v>0</v>
      </c>
    </row>
    <row r="127" spans="54:56" ht="39.950000000000003" hidden="1" customHeight="1" x14ac:dyDescent="0.25">
      <c r="BB127" s="13">
        <v>125</v>
      </c>
      <c r="BC127" s="17">
        <v>62.5</v>
      </c>
      <c r="BD127" s="33" t="s">
        <v>0</v>
      </c>
    </row>
    <row r="128" spans="54:56" ht="39.950000000000003" hidden="1" customHeight="1" x14ac:dyDescent="0.25">
      <c r="BB128" s="13">
        <v>126</v>
      </c>
      <c r="BC128" s="17">
        <v>63</v>
      </c>
      <c r="BD128" s="33" t="s">
        <v>0</v>
      </c>
    </row>
    <row r="129" spans="54:56" ht="39.950000000000003" hidden="1" customHeight="1" x14ac:dyDescent="0.25">
      <c r="BB129" s="13">
        <v>127</v>
      </c>
      <c r="BC129" s="17">
        <v>63.5</v>
      </c>
      <c r="BD129" s="33" t="s">
        <v>0</v>
      </c>
    </row>
    <row r="130" spans="54:56" ht="39.950000000000003" hidden="1" customHeight="1" x14ac:dyDescent="0.25">
      <c r="BB130" s="13">
        <v>128</v>
      </c>
      <c r="BC130" s="17">
        <v>64</v>
      </c>
      <c r="BD130" s="33" t="s">
        <v>0</v>
      </c>
    </row>
    <row r="131" spans="54:56" ht="39.950000000000003" hidden="1" customHeight="1" x14ac:dyDescent="0.25">
      <c r="BB131" s="13">
        <v>129</v>
      </c>
      <c r="BC131" s="17">
        <v>64.5</v>
      </c>
      <c r="BD131" s="33" t="s">
        <v>0</v>
      </c>
    </row>
    <row r="132" spans="54:56" ht="39.950000000000003" hidden="1" customHeight="1" x14ac:dyDescent="0.25">
      <c r="BB132" s="13">
        <v>130</v>
      </c>
      <c r="BC132" s="17">
        <v>65</v>
      </c>
      <c r="BD132" s="33" t="s">
        <v>0</v>
      </c>
    </row>
    <row r="133" spans="54:56" ht="39.950000000000003" hidden="1" customHeight="1" x14ac:dyDescent="0.25">
      <c r="BB133" s="13">
        <v>131</v>
      </c>
      <c r="BC133" s="17">
        <v>65.5</v>
      </c>
      <c r="BD133" s="33" t="s">
        <v>0</v>
      </c>
    </row>
    <row r="134" spans="54:56" ht="39.950000000000003" hidden="1" customHeight="1" x14ac:dyDescent="0.25">
      <c r="BB134" s="13">
        <v>132</v>
      </c>
      <c r="BC134" s="17">
        <v>66</v>
      </c>
      <c r="BD134" s="33" t="s">
        <v>0</v>
      </c>
    </row>
    <row r="135" spans="54:56" ht="39.950000000000003" hidden="1" customHeight="1" x14ac:dyDescent="0.25">
      <c r="BB135" s="13">
        <v>133</v>
      </c>
      <c r="BC135" s="17">
        <v>66.5</v>
      </c>
      <c r="BD135" s="33" t="s">
        <v>0</v>
      </c>
    </row>
    <row r="136" spans="54:56" ht="39.950000000000003" hidden="1" customHeight="1" x14ac:dyDescent="0.25">
      <c r="BB136" s="13">
        <v>134</v>
      </c>
      <c r="BC136" s="17">
        <v>67</v>
      </c>
      <c r="BD136" s="33" t="s">
        <v>0</v>
      </c>
    </row>
    <row r="137" spans="54:56" ht="39.950000000000003" hidden="1" customHeight="1" x14ac:dyDescent="0.25">
      <c r="BB137" s="13">
        <v>135</v>
      </c>
      <c r="BC137" s="17">
        <v>67.5</v>
      </c>
      <c r="BD137" s="33" t="s">
        <v>0</v>
      </c>
    </row>
    <row r="138" spans="54:56" ht="39.950000000000003" hidden="1" customHeight="1" x14ac:dyDescent="0.25">
      <c r="BB138" s="13">
        <v>136</v>
      </c>
      <c r="BC138" s="17">
        <v>68</v>
      </c>
      <c r="BD138" s="33" t="s">
        <v>0</v>
      </c>
    </row>
    <row r="139" spans="54:56" ht="39.950000000000003" hidden="1" customHeight="1" x14ac:dyDescent="0.25">
      <c r="BB139" s="13">
        <v>137</v>
      </c>
      <c r="BC139" s="17">
        <v>68.5</v>
      </c>
      <c r="BD139" s="33" t="s">
        <v>0</v>
      </c>
    </row>
    <row r="140" spans="54:56" ht="39.950000000000003" hidden="1" customHeight="1" x14ac:dyDescent="0.25">
      <c r="BB140" s="13">
        <v>138</v>
      </c>
      <c r="BC140" s="17">
        <v>69</v>
      </c>
      <c r="BD140" s="33" t="s">
        <v>0</v>
      </c>
    </row>
    <row r="141" spans="54:56" ht="39.950000000000003" hidden="1" customHeight="1" x14ac:dyDescent="0.25">
      <c r="BB141" s="13">
        <v>139</v>
      </c>
      <c r="BC141" s="17">
        <v>69.5</v>
      </c>
      <c r="BD141" s="33" t="s">
        <v>0</v>
      </c>
    </row>
    <row r="142" spans="54:56" ht="39.950000000000003" hidden="1" customHeight="1" x14ac:dyDescent="0.25">
      <c r="BB142" s="13">
        <v>140</v>
      </c>
      <c r="BC142" s="17">
        <v>70</v>
      </c>
      <c r="BD142" s="33" t="s">
        <v>0</v>
      </c>
    </row>
    <row r="143" spans="54:56" ht="39.950000000000003" hidden="1" customHeight="1" x14ac:dyDescent="0.25">
      <c r="BB143" s="13">
        <v>141</v>
      </c>
      <c r="BC143" s="17">
        <v>70.5</v>
      </c>
      <c r="BD143" s="33" t="s">
        <v>0</v>
      </c>
    </row>
    <row r="144" spans="54:56" ht="39.950000000000003" hidden="1" customHeight="1" x14ac:dyDescent="0.25">
      <c r="BB144" s="13">
        <v>142</v>
      </c>
      <c r="BC144" s="17">
        <v>71</v>
      </c>
      <c r="BD144" s="33" t="s">
        <v>0</v>
      </c>
    </row>
    <row r="145" spans="54:56" ht="39.950000000000003" hidden="1" customHeight="1" x14ac:dyDescent="0.25">
      <c r="BB145" s="13">
        <v>143</v>
      </c>
      <c r="BC145" s="17">
        <v>71.5</v>
      </c>
      <c r="BD145" s="33" t="s">
        <v>0</v>
      </c>
    </row>
    <row r="146" spans="54:56" ht="39.950000000000003" hidden="1" customHeight="1" x14ac:dyDescent="0.25">
      <c r="BB146" s="13">
        <v>144</v>
      </c>
      <c r="BC146" s="17">
        <v>72</v>
      </c>
      <c r="BD146" s="33" t="s">
        <v>0</v>
      </c>
    </row>
    <row r="147" spans="54:56" ht="39.950000000000003" hidden="1" customHeight="1" x14ac:dyDescent="0.25">
      <c r="BB147" s="13">
        <v>145</v>
      </c>
      <c r="BC147" s="17">
        <v>72.5</v>
      </c>
      <c r="BD147" s="33" t="s">
        <v>0</v>
      </c>
    </row>
    <row r="148" spans="54:56" ht="39.950000000000003" hidden="1" customHeight="1" x14ac:dyDescent="0.25">
      <c r="BB148" s="13">
        <v>146</v>
      </c>
      <c r="BC148" s="17">
        <v>73</v>
      </c>
      <c r="BD148" s="33" t="s">
        <v>0</v>
      </c>
    </row>
    <row r="149" spans="54:56" ht="39.950000000000003" hidden="1" customHeight="1" x14ac:dyDescent="0.25">
      <c r="BB149" s="13">
        <v>147</v>
      </c>
      <c r="BC149" s="17">
        <v>73.5</v>
      </c>
      <c r="BD149" s="33" t="s">
        <v>0</v>
      </c>
    </row>
    <row r="150" spans="54:56" ht="39.950000000000003" hidden="1" customHeight="1" x14ac:dyDescent="0.25">
      <c r="BB150" s="13">
        <v>148</v>
      </c>
      <c r="BC150" s="17">
        <v>74</v>
      </c>
      <c r="BD150" s="33" t="s">
        <v>0</v>
      </c>
    </row>
    <row r="151" spans="54:56" ht="39.950000000000003" hidden="1" customHeight="1" x14ac:dyDescent="0.25">
      <c r="BB151" s="13">
        <v>149</v>
      </c>
      <c r="BC151" s="17">
        <v>74.5</v>
      </c>
      <c r="BD151" s="33" t="s">
        <v>0</v>
      </c>
    </row>
    <row r="152" spans="54:56" ht="39.950000000000003" hidden="1" customHeight="1" x14ac:dyDescent="0.25">
      <c r="BB152" s="13">
        <v>150</v>
      </c>
      <c r="BC152" s="17">
        <v>75</v>
      </c>
      <c r="BD152" s="33" t="s">
        <v>0</v>
      </c>
    </row>
    <row r="153" spans="54:56" ht="39.950000000000003" hidden="1" customHeight="1" x14ac:dyDescent="0.25">
      <c r="BB153" s="13">
        <v>151</v>
      </c>
      <c r="BC153" s="17">
        <v>75.5</v>
      </c>
      <c r="BD153" s="33" t="s">
        <v>0</v>
      </c>
    </row>
    <row r="154" spans="54:56" ht="39.950000000000003" hidden="1" customHeight="1" x14ac:dyDescent="0.25">
      <c r="BB154" s="13">
        <v>152</v>
      </c>
      <c r="BC154" s="17">
        <v>76</v>
      </c>
      <c r="BD154" s="33" t="s">
        <v>0</v>
      </c>
    </row>
    <row r="155" spans="54:56" ht="39.950000000000003" hidden="1" customHeight="1" x14ac:dyDescent="0.25">
      <c r="BB155" s="13">
        <v>153</v>
      </c>
      <c r="BC155" s="17">
        <v>76.5</v>
      </c>
      <c r="BD155" s="33" t="s">
        <v>0</v>
      </c>
    </row>
    <row r="156" spans="54:56" ht="39.950000000000003" hidden="1" customHeight="1" x14ac:dyDescent="0.25">
      <c r="BB156" s="13">
        <v>154</v>
      </c>
      <c r="BC156" s="17">
        <v>77</v>
      </c>
      <c r="BD156" s="33" t="s">
        <v>0</v>
      </c>
    </row>
    <row r="157" spans="54:56" ht="39.950000000000003" hidden="1" customHeight="1" x14ac:dyDescent="0.25">
      <c r="BB157" s="13">
        <v>155</v>
      </c>
      <c r="BC157" s="17">
        <v>77.5</v>
      </c>
      <c r="BD157" s="33" t="s">
        <v>0</v>
      </c>
    </row>
    <row r="158" spans="54:56" ht="39.950000000000003" hidden="1" customHeight="1" x14ac:dyDescent="0.25">
      <c r="BB158" s="13">
        <v>156</v>
      </c>
      <c r="BC158" s="17">
        <v>78</v>
      </c>
      <c r="BD158" s="33" t="s">
        <v>0</v>
      </c>
    </row>
    <row r="159" spans="54:56" ht="39.950000000000003" hidden="1" customHeight="1" x14ac:dyDescent="0.25">
      <c r="BB159" s="13">
        <v>157</v>
      </c>
      <c r="BC159" s="17">
        <v>78.5</v>
      </c>
      <c r="BD159" s="33" t="s">
        <v>0</v>
      </c>
    </row>
    <row r="160" spans="54:56" ht="39.950000000000003" hidden="1" customHeight="1" x14ac:dyDescent="0.25">
      <c r="BB160" s="13">
        <v>158</v>
      </c>
      <c r="BC160" s="17">
        <v>79</v>
      </c>
      <c r="BD160" s="33" t="s">
        <v>0</v>
      </c>
    </row>
    <row r="161" spans="54:56" ht="39.950000000000003" hidden="1" customHeight="1" x14ac:dyDescent="0.25">
      <c r="BB161" s="13">
        <v>159</v>
      </c>
      <c r="BC161" s="17">
        <v>79.5</v>
      </c>
      <c r="BD161" s="33" t="s">
        <v>0</v>
      </c>
    </row>
    <row r="162" spans="54:56" ht="39.950000000000003" hidden="1" customHeight="1" x14ac:dyDescent="0.25">
      <c r="BB162" s="13">
        <v>160</v>
      </c>
      <c r="BC162" s="17">
        <v>80</v>
      </c>
      <c r="BD162" s="33" t="s">
        <v>0</v>
      </c>
    </row>
    <row r="163" spans="54:56" ht="39.950000000000003" hidden="1" customHeight="1" x14ac:dyDescent="0.25">
      <c r="BB163" s="13">
        <v>161</v>
      </c>
      <c r="BC163" s="17">
        <v>80.5</v>
      </c>
      <c r="BD163" s="33" t="s">
        <v>0</v>
      </c>
    </row>
    <row r="164" spans="54:56" ht="39.950000000000003" hidden="1" customHeight="1" x14ac:dyDescent="0.25">
      <c r="BB164" s="13">
        <v>162</v>
      </c>
      <c r="BC164" s="17">
        <v>81</v>
      </c>
      <c r="BD164" s="33" t="s">
        <v>0</v>
      </c>
    </row>
    <row r="165" spans="54:56" ht="39.950000000000003" hidden="1" customHeight="1" x14ac:dyDescent="0.25">
      <c r="BB165" s="13">
        <v>163</v>
      </c>
      <c r="BC165" s="17">
        <v>81.5</v>
      </c>
      <c r="BD165" s="33" t="s">
        <v>0</v>
      </c>
    </row>
    <row r="166" spans="54:56" ht="39.950000000000003" hidden="1" customHeight="1" x14ac:dyDescent="0.25">
      <c r="BB166" s="13">
        <v>164</v>
      </c>
      <c r="BC166" s="17">
        <v>82</v>
      </c>
      <c r="BD166" s="33" t="s">
        <v>0</v>
      </c>
    </row>
    <row r="167" spans="54:56" ht="39.950000000000003" hidden="1" customHeight="1" x14ac:dyDescent="0.25">
      <c r="BB167" s="13">
        <v>165</v>
      </c>
      <c r="BC167" s="17">
        <v>82.5</v>
      </c>
      <c r="BD167" s="33" t="s">
        <v>0</v>
      </c>
    </row>
    <row r="168" spans="54:56" ht="39.950000000000003" hidden="1" customHeight="1" x14ac:dyDescent="0.25">
      <c r="BB168" s="13">
        <v>166</v>
      </c>
      <c r="BC168" s="17">
        <v>83</v>
      </c>
      <c r="BD168" s="33" t="s">
        <v>0</v>
      </c>
    </row>
    <row r="169" spans="54:56" ht="39.950000000000003" hidden="1" customHeight="1" x14ac:dyDescent="0.25">
      <c r="BB169" s="13">
        <v>167</v>
      </c>
      <c r="BC169" s="17">
        <v>83.5</v>
      </c>
      <c r="BD169" s="33" t="s">
        <v>0</v>
      </c>
    </row>
    <row r="170" spans="54:56" ht="39.950000000000003" hidden="1" customHeight="1" x14ac:dyDescent="0.25">
      <c r="BB170" s="13">
        <v>168</v>
      </c>
      <c r="BC170" s="17">
        <v>84</v>
      </c>
      <c r="BD170" s="33" t="s">
        <v>0</v>
      </c>
    </row>
    <row r="171" spans="54:56" ht="39.950000000000003" hidden="1" customHeight="1" x14ac:dyDescent="0.25">
      <c r="BB171" s="13">
        <v>169</v>
      </c>
      <c r="BC171" s="17">
        <v>84.5</v>
      </c>
      <c r="BD171" s="33" t="s">
        <v>0</v>
      </c>
    </row>
    <row r="172" spans="54:56" ht="39.950000000000003" hidden="1" customHeight="1" x14ac:dyDescent="0.25">
      <c r="BB172" s="13">
        <v>170</v>
      </c>
      <c r="BC172" s="17">
        <v>85</v>
      </c>
      <c r="BD172" s="33" t="s">
        <v>0</v>
      </c>
    </row>
    <row r="173" spans="54:56" ht="39.950000000000003" hidden="1" customHeight="1" x14ac:dyDescent="0.25">
      <c r="BB173" s="13">
        <v>171</v>
      </c>
      <c r="BC173" s="17">
        <v>85.5</v>
      </c>
      <c r="BD173" s="33" t="s">
        <v>0</v>
      </c>
    </row>
    <row r="174" spans="54:56" ht="39.950000000000003" hidden="1" customHeight="1" x14ac:dyDescent="0.25">
      <c r="BB174" s="13">
        <v>172</v>
      </c>
      <c r="BC174" s="17">
        <v>86</v>
      </c>
      <c r="BD174" s="33" t="s">
        <v>0</v>
      </c>
    </row>
    <row r="175" spans="54:56" ht="39.950000000000003" hidden="1" customHeight="1" x14ac:dyDescent="0.25">
      <c r="BB175" s="13">
        <v>173</v>
      </c>
      <c r="BC175" s="17">
        <v>86.5</v>
      </c>
      <c r="BD175" s="33" t="s">
        <v>0</v>
      </c>
    </row>
    <row r="176" spans="54:56" ht="39.950000000000003" hidden="1" customHeight="1" x14ac:dyDescent="0.25">
      <c r="BB176" s="13">
        <v>174</v>
      </c>
      <c r="BC176" s="17">
        <v>87</v>
      </c>
      <c r="BD176" s="33" t="s">
        <v>0</v>
      </c>
    </row>
    <row r="177" spans="54:56" ht="39.950000000000003" hidden="1" customHeight="1" x14ac:dyDescent="0.25">
      <c r="BB177" s="13">
        <v>175</v>
      </c>
      <c r="BC177" s="17">
        <v>87.5</v>
      </c>
      <c r="BD177" s="33" t="s">
        <v>0</v>
      </c>
    </row>
    <row r="178" spans="54:56" ht="39.950000000000003" hidden="1" customHeight="1" x14ac:dyDescent="0.25">
      <c r="BB178" s="13">
        <v>176</v>
      </c>
      <c r="BC178" s="17">
        <v>88</v>
      </c>
      <c r="BD178" s="33" t="s">
        <v>0</v>
      </c>
    </row>
    <row r="179" spans="54:56" ht="39.950000000000003" hidden="1" customHeight="1" x14ac:dyDescent="0.25">
      <c r="BB179" s="13">
        <v>177</v>
      </c>
      <c r="BC179" s="17">
        <v>88.5</v>
      </c>
      <c r="BD179" s="33" t="s">
        <v>0</v>
      </c>
    </row>
    <row r="180" spans="54:56" ht="39.950000000000003" hidden="1" customHeight="1" x14ac:dyDescent="0.25">
      <c r="BB180" s="13">
        <v>178</v>
      </c>
      <c r="BC180" s="17">
        <v>89</v>
      </c>
      <c r="BD180" s="33" t="s">
        <v>0</v>
      </c>
    </row>
    <row r="181" spans="54:56" ht="39.950000000000003" hidden="1" customHeight="1" x14ac:dyDescent="0.25">
      <c r="BB181" s="13">
        <v>179</v>
      </c>
      <c r="BC181" s="17">
        <v>89.5</v>
      </c>
      <c r="BD181" s="33" t="s">
        <v>0</v>
      </c>
    </row>
    <row r="182" spans="54:56" ht="39.950000000000003" hidden="1" customHeight="1" x14ac:dyDescent="0.25">
      <c r="BB182" s="13">
        <v>180</v>
      </c>
      <c r="BC182" s="17">
        <v>90</v>
      </c>
      <c r="BD182" s="33" t="s">
        <v>0</v>
      </c>
    </row>
    <row r="183" spans="54:56" ht="39.950000000000003" hidden="1" customHeight="1" x14ac:dyDescent="0.25">
      <c r="BB183" s="13">
        <v>181</v>
      </c>
      <c r="BC183" s="17">
        <v>90.5</v>
      </c>
      <c r="BD183" s="33" t="s">
        <v>0</v>
      </c>
    </row>
    <row r="184" spans="54:56" ht="39.950000000000003" hidden="1" customHeight="1" x14ac:dyDescent="0.25">
      <c r="BB184" s="13">
        <v>182</v>
      </c>
      <c r="BC184" s="17">
        <v>91</v>
      </c>
      <c r="BD184" s="33" t="s">
        <v>0</v>
      </c>
    </row>
    <row r="185" spans="54:56" ht="39.950000000000003" hidden="1" customHeight="1" x14ac:dyDescent="0.25">
      <c r="BB185" s="13">
        <v>183</v>
      </c>
      <c r="BC185" s="17">
        <v>91.5</v>
      </c>
      <c r="BD185" s="33" t="s">
        <v>0</v>
      </c>
    </row>
    <row r="186" spans="54:56" ht="39.950000000000003" hidden="1" customHeight="1" x14ac:dyDescent="0.25">
      <c r="BB186" s="13">
        <v>184</v>
      </c>
      <c r="BC186" s="17">
        <v>92</v>
      </c>
      <c r="BD186" s="33" t="s">
        <v>0</v>
      </c>
    </row>
    <row r="187" spans="54:56" ht="39.950000000000003" hidden="1" customHeight="1" x14ac:dyDescent="0.25">
      <c r="BB187" s="13">
        <v>185</v>
      </c>
      <c r="BC187" s="17">
        <v>92.5</v>
      </c>
      <c r="BD187" s="33" t="s">
        <v>0</v>
      </c>
    </row>
    <row r="188" spans="54:56" ht="39.950000000000003" hidden="1" customHeight="1" x14ac:dyDescent="0.25">
      <c r="BB188" s="13">
        <v>186</v>
      </c>
      <c r="BC188" s="17">
        <v>93</v>
      </c>
      <c r="BD188" s="33" t="s">
        <v>0</v>
      </c>
    </row>
    <row r="189" spans="54:56" ht="39.950000000000003" hidden="1" customHeight="1" x14ac:dyDescent="0.25">
      <c r="BB189" s="13">
        <v>187</v>
      </c>
      <c r="BC189" s="17">
        <v>93.5</v>
      </c>
      <c r="BD189" s="33" t="s">
        <v>0</v>
      </c>
    </row>
    <row r="190" spans="54:56" ht="39.950000000000003" hidden="1" customHeight="1" x14ac:dyDescent="0.25">
      <c r="BB190" s="13">
        <v>188</v>
      </c>
      <c r="BC190" s="17">
        <v>94</v>
      </c>
      <c r="BD190" s="33" t="s">
        <v>0</v>
      </c>
    </row>
    <row r="191" spans="54:56" ht="39.950000000000003" hidden="1" customHeight="1" x14ac:dyDescent="0.25">
      <c r="BB191" s="13">
        <v>189</v>
      </c>
      <c r="BC191" s="17">
        <v>94.5</v>
      </c>
      <c r="BD191" s="33" t="s">
        <v>0</v>
      </c>
    </row>
    <row r="192" spans="54:56" ht="39.950000000000003" hidden="1" customHeight="1" x14ac:dyDescent="0.25">
      <c r="BB192" s="13">
        <v>190</v>
      </c>
      <c r="BC192" s="17">
        <v>95</v>
      </c>
      <c r="BD192" s="33" t="s">
        <v>0</v>
      </c>
    </row>
    <row r="193" spans="54:56" ht="39.950000000000003" hidden="1" customHeight="1" x14ac:dyDescent="0.25">
      <c r="BB193" s="13">
        <v>191</v>
      </c>
      <c r="BC193" s="17">
        <v>95.5</v>
      </c>
      <c r="BD193" s="33" t="s">
        <v>0</v>
      </c>
    </row>
    <row r="194" spans="54:56" ht="39.950000000000003" hidden="1" customHeight="1" x14ac:dyDescent="0.25">
      <c r="BB194" s="13">
        <v>192</v>
      </c>
      <c r="BC194" s="17">
        <v>96</v>
      </c>
      <c r="BD194" s="33" t="s">
        <v>0</v>
      </c>
    </row>
    <row r="195" spans="54:56" ht="39.950000000000003" hidden="1" customHeight="1" x14ac:dyDescent="0.25">
      <c r="BB195" s="13">
        <v>193</v>
      </c>
      <c r="BC195" s="17">
        <v>96.5</v>
      </c>
      <c r="BD195" s="33" t="s">
        <v>0</v>
      </c>
    </row>
    <row r="196" spans="54:56" ht="39.950000000000003" hidden="1" customHeight="1" x14ac:dyDescent="0.25">
      <c r="BB196" s="13">
        <v>194</v>
      </c>
      <c r="BC196" s="17">
        <v>97</v>
      </c>
      <c r="BD196" s="33" t="s">
        <v>0</v>
      </c>
    </row>
    <row r="197" spans="54:56" ht="39.950000000000003" hidden="1" customHeight="1" x14ac:dyDescent="0.25">
      <c r="BB197" s="13">
        <v>195</v>
      </c>
      <c r="BC197" s="17">
        <v>97.5</v>
      </c>
      <c r="BD197" s="33" t="s">
        <v>0</v>
      </c>
    </row>
    <row r="198" spans="54:56" ht="39.950000000000003" hidden="1" customHeight="1" x14ac:dyDescent="0.25">
      <c r="BB198" s="13">
        <v>196</v>
      </c>
      <c r="BC198" s="17">
        <v>98</v>
      </c>
      <c r="BD198" s="33" t="s">
        <v>0</v>
      </c>
    </row>
    <row r="199" spans="54:56" ht="39.950000000000003" hidden="1" customHeight="1" x14ac:dyDescent="0.25">
      <c r="BB199" s="13">
        <v>197</v>
      </c>
      <c r="BC199" s="17">
        <v>98.5</v>
      </c>
      <c r="BD199" s="33" t="s">
        <v>0</v>
      </c>
    </row>
    <row r="200" spans="54:56" ht="39.950000000000003" hidden="1" customHeight="1" x14ac:dyDescent="0.25">
      <c r="BB200" s="13">
        <v>198</v>
      </c>
      <c r="BC200" s="17">
        <v>99</v>
      </c>
      <c r="BD200" s="33" t="s">
        <v>0</v>
      </c>
    </row>
    <row r="201" spans="54:56" ht="39.950000000000003" hidden="1" customHeight="1" x14ac:dyDescent="0.25">
      <c r="BB201" s="13">
        <v>199</v>
      </c>
      <c r="BC201" s="17">
        <v>99.5</v>
      </c>
      <c r="BD201" s="33" t="s">
        <v>0</v>
      </c>
    </row>
    <row r="202" spans="54:56" ht="39.950000000000003" hidden="1" customHeight="1" x14ac:dyDescent="0.25">
      <c r="BB202" s="13">
        <v>200</v>
      </c>
      <c r="BC202" s="17">
        <v>100</v>
      </c>
      <c r="BD202" s="33" t="s">
        <v>0</v>
      </c>
    </row>
    <row r="203" spans="54:56" ht="39.950000000000003" hidden="1" customHeight="1" x14ac:dyDescent="0.25">
      <c r="BB203" s="13">
        <v>201</v>
      </c>
      <c r="BC203" s="17">
        <v>100.5</v>
      </c>
      <c r="BD203" s="33" t="s">
        <v>0</v>
      </c>
    </row>
    <row r="204" spans="54:56" ht="39.950000000000003" hidden="1" customHeight="1" x14ac:dyDescent="0.25">
      <c r="BB204" s="13">
        <v>202</v>
      </c>
      <c r="BC204" s="17">
        <v>101</v>
      </c>
      <c r="BD204" s="33" t="s">
        <v>0</v>
      </c>
    </row>
    <row r="205" spans="54:56" ht="39.950000000000003" hidden="1" customHeight="1" x14ac:dyDescent="0.25">
      <c r="BB205" s="13">
        <v>203</v>
      </c>
      <c r="BC205" s="17">
        <v>101.5</v>
      </c>
      <c r="BD205" s="33" t="s">
        <v>0</v>
      </c>
    </row>
    <row r="206" spans="54:56" ht="39.950000000000003" hidden="1" customHeight="1" x14ac:dyDescent="0.25">
      <c r="BB206" s="13">
        <v>204</v>
      </c>
      <c r="BC206" s="17">
        <v>102</v>
      </c>
      <c r="BD206" s="33" t="s">
        <v>0</v>
      </c>
    </row>
    <row r="207" spans="54:56" ht="39.950000000000003" hidden="1" customHeight="1" x14ac:dyDescent="0.25">
      <c r="BB207" s="13">
        <v>205</v>
      </c>
      <c r="BC207" s="17">
        <v>102.5</v>
      </c>
      <c r="BD207" s="33" t="s">
        <v>0</v>
      </c>
    </row>
    <row r="208" spans="54:56" ht="39.950000000000003" hidden="1" customHeight="1" x14ac:dyDescent="0.25">
      <c r="BB208" s="13">
        <v>206</v>
      </c>
      <c r="BC208" s="17">
        <v>103</v>
      </c>
      <c r="BD208" s="33" t="s">
        <v>0</v>
      </c>
    </row>
    <row r="209" spans="54:56" ht="39.950000000000003" hidden="1" customHeight="1" x14ac:dyDescent="0.25">
      <c r="BB209" s="13">
        <v>207</v>
      </c>
      <c r="BC209" s="17">
        <v>103.5</v>
      </c>
      <c r="BD209" s="33" t="s">
        <v>0</v>
      </c>
    </row>
    <row r="210" spans="54:56" ht="39.950000000000003" hidden="1" customHeight="1" x14ac:dyDescent="0.25">
      <c r="BB210" s="13">
        <v>208</v>
      </c>
      <c r="BC210" s="17">
        <v>104</v>
      </c>
      <c r="BD210" s="33" t="s">
        <v>0</v>
      </c>
    </row>
    <row r="211" spans="54:56" ht="39.950000000000003" hidden="1" customHeight="1" x14ac:dyDescent="0.25">
      <c r="BB211" s="13">
        <v>209</v>
      </c>
      <c r="BC211" s="17">
        <v>104.5</v>
      </c>
      <c r="BD211" s="33" t="s">
        <v>0</v>
      </c>
    </row>
    <row r="212" spans="54:56" ht="39.950000000000003" hidden="1" customHeight="1" x14ac:dyDescent="0.25">
      <c r="BB212" s="13">
        <v>210</v>
      </c>
      <c r="BC212" s="17">
        <v>105</v>
      </c>
      <c r="BD212" s="33" t="s">
        <v>0</v>
      </c>
    </row>
    <row r="213" spans="54:56" ht="39.950000000000003" hidden="1" customHeight="1" x14ac:dyDescent="0.25">
      <c r="BB213" s="13">
        <v>211</v>
      </c>
      <c r="BC213" s="17">
        <v>105.5</v>
      </c>
      <c r="BD213" s="33" t="s">
        <v>0</v>
      </c>
    </row>
    <row r="214" spans="54:56" ht="39.950000000000003" hidden="1" customHeight="1" x14ac:dyDescent="0.25">
      <c r="BB214" s="13">
        <v>212</v>
      </c>
      <c r="BC214" s="17">
        <v>106</v>
      </c>
      <c r="BD214" s="33" t="s">
        <v>0</v>
      </c>
    </row>
    <row r="215" spans="54:56" ht="39.950000000000003" hidden="1" customHeight="1" x14ac:dyDescent="0.25">
      <c r="BB215" s="13">
        <v>213</v>
      </c>
      <c r="BC215" s="17">
        <v>106.5</v>
      </c>
      <c r="BD215" s="33" t="s">
        <v>0</v>
      </c>
    </row>
    <row r="216" spans="54:56" ht="39.950000000000003" hidden="1" customHeight="1" x14ac:dyDescent="0.25">
      <c r="BB216" s="13">
        <v>214</v>
      </c>
      <c r="BC216" s="17">
        <v>107</v>
      </c>
      <c r="BD216" s="33" t="s">
        <v>0</v>
      </c>
    </row>
    <row r="217" spans="54:56" ht="39.950000000000003" hidden="1" customHeight="1" x14ac:dyDescent="0.25">
      <c r="BB217" s="13">
        <v>215</v>
      </c>
      <c r="BC217" s="17">
        <v>107.5</v>
      </c>
      <c r="BD217" s="33" t="s">
        <v>0</v>
      </c>
    </row>
    <row r="218" spans="54:56" ht="39.950000000000003" hidden="1" customHeight="1" x14ac:dyDescent="0.25">
      <c r="BB218" s="13">
        <v>216</v>
      </c>
      <c r="BC218" s="17">
        <v>108</v>
      </c>
      <c r="BD218" s="33" t="s">
        <v>0</v>
      </c>
    </row>
    <row r="219" spans="54:56" ht="39.950000000000003" hidden="1" customHeight="1" x14ac:dyDescent="0.25">
      <c r="BB219" s="13">
        <v>217</v>
      </c>
      <c r="BC219" s="17">
        <v>108.5</v>
      </c>
      <c r="BD219" s="33" t="s">
        <v>0</v>
      </c>
    </row>
    <row r="220" spans="54:56" ht="39.950000000000003" hidden="1" customHeight="1" x14ac:dyDescent="0.25">
      <c r="BB220" s="13">
        <v>218</v>
      </c>
      <c r="BC220" s="17">
        <v>109</v>
      </c>
      <c r="BD220" s="33" t="s">
        <v>0</v>
      </c>
    </row>
    <row r="221" spans="54:56" ht="39.950000000000003" hidden="1" customHeight="1" x14ac:dyDescent="0.25">
      <c r="BB221" s="13">
        <v>219</v>
      </c>
      <c r="BC221" s="17">
        <v>109.5</v>
      </c>
      <c r="BD221" s="33" t="s">
        <v>0</v>
      </c>
    </row>
    <row r="222" spans="54:56" ht="39.950000000000003" hidden="1" customHeight="1" x14ac:dyDescent="0.25">
      <c r="BB222" s="13">
        <v>220</v>
      </c>
      <c r="BC222" s="17">
        <v>110</v>
      </c>
      <c r="BD222" s="33" t="s">
        <v>0</v>
      </c>
    </row>
    <row r="223" spans="54:56" ht="39.950000000000003" hidden="1" customHeight="1" x14ac:dyDescent="0.25">
      <c r="BB223" s="13">
        <v>221</v>
      </c>
      <c r="BC223" s="17">
        <v>110.5</v>
      </c>
      <c r="BD223" s="33" t="s">
        <v>0</v>
      </c>
    </row>
    <row r="224" spans="54:56" ht="39.950000000000003" hidden="1" customHeight="1" x14ac:dyDescent="0.25">
      <c r="BB224" s="13">
        <v>222</v>
      </c>
      <c r="BC224" s="17">
        <v>111</v>
      </c>
      <c r="BD224" s="33" t="s">
        <v>0</v>
      </c>
    </row>
    <row r="225" spans="54:56" ht="39.950000000000003" hidden="1" customHeight="1" x14ac:dyDescent="0.25">
      <c r="BB225" s="13">
        <v>223</v>
      </c>
      <c r="BC225" s="17">
        <v>111.5</v>
      </c>
      <c r="BD225" s="33" t="s">
        <v>0</v>
      </c>
    </row>
    <row r="226" spans="54:56" ht="39.950000000000003" hidden="1" customHeight="1" x14ac:dyDescent="0.25">
      <c r="BB226" s="13">
        <v>224</v>
      </c>
      <c r="BC226" s="17">
        <v>112</v>
      </c>
      <c r="BD226" s="33" t="s">
        <v>0</v>
      </c>
    </row>
    <row r="227" spans="54:56" ht="39.950000000000003" hidden="1" customHeight="1" x14ac:dyDescent="0.25">
      <c r="BB227" s="13">
        <v>225</v>
      </c>
      <c r="BC227" s="17">
        <v>112.5</v>
      </c>
      <c r="BD227" s="33" t="s">
        <v>0</v>
      </c>
    </row>
    <row r="228" spans="54:56" ht="39.950000000000003" hidden="1" customHeight="1" x14ac:dyDescent="0.25">
      <c r="BB228" s="13">
        <v>226</v>
      </c>
      <c r="BC228" s="17">
        <v>113</v>
      </c>
      <c r="BD228" s="33" t="s">
        <v>0</v>
      </c>
    </row>
    <row r="229" spans="54:56" ht="39.950000000000003" hidden="1" customHeight="1" x14ac:dyDescent="0.25">
      <c r="BB229" s="13">
        <v>227</v>
      </c>
      <c r="BC229" s="17">
        <v>113.5</v>
      </c>
      <c r="BD229" s="33" t="s">
        <v>0</v>
      </c>
    </row>
    <row r="230" spans="54:56" ht="39.950000000000003" hidden="1" customHeight="1" x14ac:dyDescent="0.25">
      <c r="BB230" s="13">
        <v>228</v>
      </c>
      <c r="BC230" s="17">
        <v>114</v>
      </c>
      <c r="BD230" s="33" t="s">
        <v>0</v>
      </c>
    </row>
    <row r="231" spans="54:56" ht="39.950000000000003" hidden="1" customHeight="1" x14ac:dyDescent="0.25">
      <c r="BB231" s="13">
        <v>229</v>
      </c>
      <c r="BC231" s="17">
        <v>114.5</v>
      </c>
      <c r="BD231" s="33" t="s">
        <v>0</v>
      </c>
    </row>
    <row r="232" spans="54:56" ht="39.950000000000003" hidden="1" customHeight="1" x14ac:dyDescent="0.25">
      <c r="BB232" s="13">
        <v>230</v>
      </c>
      <c r="BC232" s="17">
        <v>115</v>
      </c>
      <c r="BD232" s="33" t="s">
        <v>0</v>
      </c>
    </row>
    <row r="233" spans="54:56" ht="39.950000000000003" hidden="1" customHeight="1" x14ac:dyDescent="0.25">
      <c r="BB233" s="13">
        <v>231</v>
      </c>
      <c r="BC233" s="17">
        <v>115.5</v>
      </c>
      <c r="BD233" s="33" t="s">
        <v>0</v>
      </c>
    </row>
    <row r="234" spans="54:56" ht="39.950000000000003" hidden="1" customHeight="1" x14ac:dyDescent="0.25">
      <c r="BB234" s="13">
        <v>232</v>
      </c>
      <c r="BC234" s="17">
        <v>116</v>
      </c>
      <c r="BD234" s="33" t="s">
        <v>0</v>
      </c>
    </row>
    <row r="235" spans="54:56" ht="39.950000000000003" hidden="1" customHeight="1" x14ac:dyDescent="0.25">
      <c r="BB235" s="13">
        <v>233</v>
      </c>
      <c r="BC235" s="17">
        <v>116.5</v>
      </c>
      <c r="BD235" s="33" t="s">
        <v>0</v>
      </c>
    </row>
    <row r="236" spans="54:56" ht="39.950000000000003" hidden="1" customHeight="1" x14ac:dyDescent="0.25">
      <c r="BB236" s="13">
        <v>234</v>
      </c>
      <c r="BC236" s="17">
        <v>117</v>
      </c>
      <c r="BD236" s="33" t="s">
        <v>0</v>
      </c>
    </row>
    <row r="237" spans="54:56" ht="39.950000000000003" hidden="1" customHeight="1" x14ac:dyDescent="0.25">
      <c r="BB237" s="13">
        <v>235</v>
      </c>
      <c r="BC237" s="17">
        <v>117.5</v>
      </c>
      <c r="BD237" s="33" t="s">
        <v>0</v>
      </c>
    </row>
    <row r="238" spans="54:56" ht="39.950000000000003" hidden="1" customHeight="1" x14ac:dyDescent="0.25">
      <c r="BB238" s="13">
        <v>236</v>
      </c>
      <c r="BC238" s="17">
        <v>118</v>
      </c>
      <c r="BD238" s="33" t="s">
        <v>0</v>
      </c>
    </row>
    <row r="239" spans="54:56" ht="39.950000000000003" hidden="1" customHeight="1" x14ac:dyDescent="0.25">
      <c r="BB239" s="13">
        <v>237</v>
      </c>
      <c r="BC239" s="17">
        <v>118.5</v>
      </c>
      <c r="BD239" s="33" t="s">
        <v>0</v>
      </c>
    </row>
    <row r="240" spans="54:56" ht="39.950000000000003" hidden="1" customHeight="1" x14ac:dyDescent="0.25">
      <c r="BB240" s="13">
        <v>238</v>
      </c>
      <c r="BC240" s="17">
        <v>119</v>
      </c>
      <c r="BD240" s="33" t="s">
        <v>0</v>
      </c>
    </row>
    <row r="241" spans="1:56" ht="39.950000000000003" hidden="1" customHeight="1" x14ac:dyDescent="0.25">
      <c r="BB241" s="13">
        <v>239</v>
      </c>
      <c r="BC241" s="17">
        <v>119.5</v>
      </c>
      <c r="BD241" s="33" t="s">
        <v>0</v>
      </c>
    </row>
    <row r="242" spans="1:56" ht="39.950000000000003" hidden="1" customHeight="1" x14ac:dyDescent="0.25">
      <c r="BB242" s="13">
        <v>240</v>
      </c>
      <c r="BC242" s="17">
        <v>120</v>
      </c>
      <c r="BD242" s="33" t="s">
        <v>0</v>
      </c>
    </row>
    <row r="243" spans="1:56" ht="39.950000000000003" hidden="1" customHeight="1" x14ac:dyDescent="0.25">
      <c r="BB243" s="13">
        <v>241</v>
      </c>
      <c r="BC243" s="17">
        <v>120.5</v>
      </c>
      <c r="BD243" s="33" t="s">
        <v>0</v>
      </c>
    </row>
    <row r="244" spans="1:56" ht="39.950000000000003" hidden="1" customHeight="1" x14ac:dyDescent="0.25">
      <c r="BB244" s="13">
        <v>242</v>
      </c>
      <c r="BC244" s="17">
        <v>121</v>
      </c>
      <c r="BD244" s="33" t="s">
        <v>0</v>
      </c>
    </row>
    <row r="245" spans="1:56" ht="39.950000000000003" hidden="1" customHeight="1" x14ac:dyDescent="0.25">
      <c r="BB245" s="13">
        <v>243</v>
      </c>
      <c r="BC245" s="17">
        <v>121.5</v>
      </c>
      <c r="BD245" s="33" t="s">
        <v>0</v>
      </c>
    </row>
    <row r="246" spans="1:56" ht="39.950000000000003" hidden="1" customHeight="1" x14ac:dyDescent="0.25">
      <c r="BB246" s="13">
        <v>244</v>
      </c>
      <c r="BC246" s="17">
        <v>122</v>
      </c>
      <c r="BD246" s="33" t="s">
        <v>0</v>
      </c>
    </row>
    <row r="247" spans="1:56" ht="39.950000000000003" hidden="1" customHeight="1" x14ac:dyDescent="0.25">
      <c r="BB247" s="13">
        <v>245</v>
      </c>
      <c r="BC247" s="17">
        <v>122.5</v>
      </c>
      <c r="BD247" s="33" t="s">
        <v>0</v>
      </c>
    </row>
    <row r="248" spans="1:56" ht="39.950000000000003" hidden="1" customHeight="1" x14ac:dyDescent="0.25">
      <c r="BB248" s="13">
        <v>246</v>
      </c>
      <c r="BC248" s="17">
        <v>123</v>
      </c>
      <c r="BD248" s="33" t="s">
        <v>0</v>
      </c>
    </row>
    <row r="249" spans="1:56" ht="39.950000000000003" hidden="1" customHeight="1" x14ac:dyDescent="0.25">
      <c r="BB249" s="13">
        <v>247</v>
      </c>
      <c r="BC249" s="17">
        <v>123.5</v>
      </c>
      <c r="BD249" s="33" t="s">
        <v>0</v>
      </c>
    </row>
    <row r="250" spans="1:56" ht="39.950000000000003" hidden="1" customHeight="1" x14ac:dyDescent="0.25">
      <c r="BB250" s="13">
        <v>248</v>
      </c>
      <c r="BC250" s="17">
        <v>124</v>
      </c>
      <c r="BD250" s="33" t="s">
        <v>0</v>
      </c>
    </row>
    <row r="251" spans="1:56" ht="39.950000000000003" hidden="1" customHeight="1" x14ac:dyDescent="0.25">
      <c r="BB251" s="13">
        <v>249</v>
      </c>
      <c r="BC251" s="17">
        <v>124.5</v>
      </c>
      <c r="BD251" s="33" t="s">
        <v>0</v>
      </c>
    </row>
    <row r="252" spans="1:56" ht="39.950000000000003" hidden="1" customHeight="1" x14ac:dyDescent="0.25">
      <c r="BB252" s="13">
        <v>250</v>
      </c>
      <c r="BC252" s="17">
        <v>125</v>
      </c>
      <c r="BD252" s="33" t="s">
        <v>0</v>
      </c>
    </row>
    <row r="253" spans="1:56" ht="39.950000000000003" hidden="1" customHeight="1" x14ac:dyDescent="0.25">
      <c r="BB253" s="13">
        <v>251</v>
      </c>
      <c r="BC253" s="17">
        <v>125.5</v>
      </c>
      <c r="BD253" s="33" t="s">
        <v>0</v>
      </c>
    </row>
    <row r="254" spans="1:56" s="11" customFormat="1" ht="39.950000000000003" hidden="1" customHeight="1"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c r="Y254" s="13"/>
      <c r="Z254" s="13"/>
      <c r="AA254" s="13"/>
      <c r="AB254" s="13"/>
      <c r="AC254" s="13"/>
      <c r="AD254" s="13"/>
      <c r="AE254" s="13"/>
      <c r="AF254" s="13"/>
      <c r="AG254" s="13"/>
      <c r="AH254" s="13"/>
      <c r="AI254" s="13"/>
      <c r="AJ254" s="13"/>
      <c r="AK254" s="13"/>
      <c r="AL254" s="13"/>
      <c r="AM254" s="13"/>
      <c r="AN254" s="13"/>
      <c r="AO254" s="13"/>
      <c r="AP254" s="13"/>
      <c r="AQ254" s="13"/>
      <c r="AR254" s="13"/>
      <c r="AS254" s="13"/>
      <c r="AT254" s="13"/>
      <c r="AU254" s="13"/>
      <c r="AV254" s="13"/>
      <c r="AW254" s="13"/>
      <c r="AX254" s="13"/>
      <c r="AY254" s="13"/>
      <c r="AZ254" s="13"/>
      <c r="BA254" s="13"/>
      <c r="BB254" s="13">
        <v>252</v>
      </c>
      <c r="BC254" s="17">
        <v>126</v>
      </c>
      <c r="BD254" s="33" t="s">
        <v>0</v>
      </c>
    </row>
    <row r="255" spans="1:56" s="11" customFormat="1" ht="39.950000000000003" hidden="1" customHeight="1"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13"/>
      <c r="Z255" s="13"/>
      <c r="AA255" s="13"/>
      <c r="AB255" s="13"/>
      <c r="AC255" s="13"/>
      <c r="AD255" s="13"/>
      <c r="AE255" s="13"/>
      <c r="AF255" s="13"/>
      <c r="AG255" s="13"/>
      <c r="AH255" s="13"/>
      <c r="AI255" s="13"/>
      <c r="AJ255" s="13"/>
      <c r="AK255" s="13"/>
      <c r="AL255" s="13"/>
      <c r="AM255" s="13"/>
      <c r="AN255" s="13"/>
      <c r="AO255" s="13"/>
      <c r="AP255" s="13"/>
      <c r="AQ255" s="13"/>
      <c r="AR255" s="13"/>
      <c r="AS255" s="13"/>
      <c r="AT255" s="13"/>
      <c r="AU255" s="13"/>
      <c r="AV255" s="13"/>
      <c r="AW255" s="13"/>
      <c r="AX255" s="13"/>
      <c r="AY255" s="13"/>
      <c r="AZ255" s="13"/>
      <c r="BA255" s="13"/>
      <c r="BB255" s="13">
        <v>253</v>
      </c>
      <c r="BC255" s="17">
        <v>126.5</v>
      </c>
      <c r="BD255" s="33" t="s">
        <v>0</v>
      </c>
    </row>
    <row r="256" spans="1:56" s="11" customFormat="1" ht="39.950000000000003" hidden="1" customHeight="1"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13"/>
      <c r="Z256" s="13"/>
      <c r="AA256" s="13"/>
      <c r="AB256" s="13"/>
      <c r="AC256" s="13"/>
      <c r="AD256" s="13"/>
      <c r="AE256" s="13"/>
      <c r="AF256" s="13"/>
      <c r="AG256" s="13"/>
      <c r="AH256" s="13"/>
      <c r="AI256" s="13"/>
      <c r="AJ256" s="13"/>
      <c r="AK256" s="13"/>
      <c r="AL256" s="13"/>
      <c r="AM256" s="13"/>
      <c r="AN256" s="13"/>
      <c r="AO256" s="13"/>
      <c r="AP256" s="13"/>
      <c r="AQ256" s="13"/>
      <c r="AR256" s="13"/>
      <c r="AS256" s="13"/>
      <c r="AT256" s="13"/>
      <c r="AU256" s="13"/>
      <c r="AV256" s="13"/>
      <c r="AW256" s="13"/>
      <c r="AX256" s="13"/>
      <c r="AY256" s="13"/>
      <c r="AZ256" s="13"/>
      <c r="BA256" s="13"/>
      <c r="BB256" s="13">
        <v>254</v>
      </c>
      <c r="BC256" s="17">
        <v>127</v>
      </c>
      <c r="BD256" s="33" t="s">
        <v>0</v>
      </c>
    </row>
    <row r="257" spans="1:56" s="11" customFormat="1" ht="39.950000000000003" hidden="1" customHeight="1"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13"/>
      <c r="Z257" s="13"/>
      <c r="AA257" s="13"/>
      <c r="AB257" s="13"/>
      <c r="AC257" s="13"/>
      <c r="AD257" s="13"/>
      <c r="AE257" s="13"/>
      <c r="AF257" s="13"/>
      <c r="AG257" s="13"/>
      <c r="AH257" s="13"/>
      <c r="AI257" s="13"/>
      <c r="AJ257" s="13"/>
      <c r="AK257" s="13"/>
      <c r="AL257" s="13"/>
      <c r="AM257" s="13"/>
      <c r="AN257" s="13"/>
      <c r="AO257" s="13"/>
      <c r="AP257" s="13"/>
      <c r="AQ257" s="13"/>
      <c r="AR257" s="13"/>
      <c r="AS257" s="13"/>
      <c r="AT257" s="13"/>
      <c r="AU257" s="13"/>
      <c r="AV257" s="13"/>
      <c r="AW257" s="13"/>
      <c r="AX257" s="13"/>
      <c r="AY257" s="13"/>
      <c r="AZ257" s="13"/>
      <c r="BA257" s="13"/>
      <c r="BB257" s="13">
        <v>255</v>
      </c>
      <c r="BC257" s="17">
        <v>127.5</v>
      </c>
      <c r="BD257" s="33" t="s">
        <v>0</v>
      </c>
    </row>
    <row r="258" spans="1:56" s="11" customFormat="1" ht="39.950000000000003" hidden="1" customHeight="1"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13"/>
      <c r="Z258" s="13"/>
      <c r="AA258" s="13"/>
      <c r="AB258" s="13"/>
      <c r="AC258" s="13"/>
      <c r="AD258" s="13"/>
      <c r="AE258" s="13"/>
      <c r="AF258" s="13"/>
      <c r="AG258" s="13"/>
      <c r="AH258" s="13"/>
      <c r="AI258" s="13"/>
      <c r="AJ258" s="13"/>
      <c r="AK258" s="13"/>
      <c r="AL258" s="13"/>
      <c r="AM258" s="13"/>
      <c r="AN258" s="13"/>
      <c r="AO258" s="13"/>
      <c r="AP258" s="13"/>
      <c r="AQ258" s="13"/>
      <c r="AR258" s="13"/>
      <c r="AS258" s="13"/>
      <c r="AT258" s="13"/>
      <c r="AU258" s="13"/>
      <c r="AV258" s="13"/>
      <c r="AW258" s="13"/>
      <c r="AX258" s="13"/>
      <c r="AY258" s="13"/>
      <c r="AZ258" s="13"/>
      <c r="BA258" s="13"/>
      <c r="BB258" s="13">
        <v>256</v>
      </c>
      <c r="BC258" s="17">
        <v>128</v>
      </c>
      <c r="BD258" s="33" t="s">
        <v>0</v>
      </c>
    </row>
    <row r="259" spans="1:56" s="11" customFormat="1" ht="39.950000000000003" hidden="1" customHeight="1"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13"/>
      <c r="Z259" s="13"/>
      <c r="AA259" s="13"/>
      <c r="AB259" s="13"/>
      <c r="AC259" s="13"/>
      <c r="AD259" s="13"/>
      <c r="AE259" s="13"/>
      <c r="AF259" s="13"/>
      <c r="AG259" s="13"/>
      <c r="AH259" s="13"/>
      <c r="AI259" s="13"/>
      <c r="AJ259" s="13"/>
      <c r="AK259" s="13"/>
      <c r="AL259" s="13"/>
      <c r="AM259" s="13"/>
      <c r="AN259" s="13"/>
      <c r="AO259" s="13"/>
      <c r="AP259" s="13"/>
      <c r="AQ259" s="13"/>
      <c r="AR259" s="13"/>
      <c r="AS259" s="13"/>
      <c r="AT259" s="13"/>
      <c r="AU259" s="13"/>
      <c r="AV259" s="13"/>
      <c r="AW259" s="13"/>
      <c r="AX259" s="13"/>
      <c r="AY259" s="13"/>
      <c r="AZ259" s="13"/>
      <c r="BA259" s="13"/>
      <c r="BB259" s="13">
        <v>257</v>
      </c>
      <c r="BC259" s="17">
        <v>128.5</v>
      </c>
      <c r="BD259" s="33" t="s">
        <v>0</v>
      </c>
    </row>
    <row r="260" spans="1:56" s="11" customFormat="1" ht="39.950000000000003" hidden="1" customHeight="1"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13"/>
      <c r="Z260" s="13"/>
      <c r="AA260" s="13"/>
      <c r="AB260" s="13"/>
      <c r="AC260" s="13"/>
      <c r="AD260" s="13"/>
      <c r="AE260" s="13"/>
      <c r="AF260" s="13"/>
      <c r="AG260" s="13"/>
      <c r="AH260" s="13"/>
      <c r="AI260" s="13"/>
      <c r="AJ260" s="13"/>
      <c r="AK260" s="13"/>
      <c r="AL260" s="13"/>
      <c r="AM260" s="13"/>
      <c r="AN260" s="13"/>
      <c r="AO260" s="13"/>
      <c r="AP260" s="13"/>
      <c r="AQ260" s="13"/>
      <c r="AR260" s="13"/>
      <c r="AS260" s="13"/>
      <c r="AT260" s="13"/>
      <c r="AU260" s="13"/>
      <c r="AV260" s="13"/>
      <c r="AW260" s="13"/>
      <c r="AX260" s="13"/>
      <c r="AY260" s="13"/>
      <c r="AZ260" s="13"/>
      <c r="BA260" s="13"/>
      <c r="BB260" s="13">
        <v>258</v>
      </c>
      <c r="BC260" s="17">
        <v>129</v>
      </c>
      <c r="BD260" s="33" t="s">
        <v>0</v>
      </c>
    </row>
    <row r="261" spans="1:56" s="11" customFormat="1" ht="39.950000000000003" hidden="1" customHeight="1"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13"/>
      <c r="Z261" s="13"/>
      <c r="AA261" s="13"/>
      <c r="AB261" s="13"/>
      <c r="AC261" s="13"/>
      <c r="AD261" s="13"/>
      <c r="AE261" s="13"/>
      <c r="AF261" s="13"/>
      <c r="AG261" s="13"/>
      <c r="AH261" s="13"/>
      <c r="AI261" s="13"/>
      <c r="AJ261" s="13"/>
      <c r="AK261" s="13"/>
      <c r="AL261" s="13"/>
      <c r="AM261" s="13"/>
      <c r="AN261" s="13"/>
      <c r="AO261" s="13"/>
      <c r="AP261" s="13"/>
      <c r="AQ261" s="13"/>
      <c r="AR261" s="13"/>
      <c r="AS261" s="13"/>
      <c r="AT261" s="13"/>
      <c r="AU261" s="13"/>
      <c r="AV261" s="13"/>
      <c r="AW261" s="13"/>
      <c r="AX261" s="13"/>
      <c r="AY261" s="13"/>
      <c r="AZ261" s="13"/>
      <c r="BA261" s="13"/>
      <c r="BB261" s="13">
        <v>259</v>
      </c>
      <c r="BC261" s="17">
        <v>129.5</v>
      </c>
      <c r="BD261" s="33" t="s">
        <v>0</v>
      </c>
    </row>
    <row r="262" spans="1:56" s="11" customFormat="1" ht="39.950000000000003" hidden="1" customHeight="1"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13"/>
      <c r="Z262" s="13"/>
      <c r="AA262" s="13"/>
      <c r="AB262" s="13"/>
      <c r="AC262" s="13"/>
      <c r="AD262" s="13"/>
      <c r="AE262" s="13"/>
      <c r="AF262" s="13"/>
      <c r="AG262" s="13"/>
      <c r="AH262" s="13"/>
      <c r="AI262" s="13"/>
      <c r="AJ262" s="13"/>
      <c r="AK262" s="13"/>
      <c r="AL262" s="13"/>
      <c r="AM262" s="13"/>
      <c r="AN262" s="13"/>
      <c r="AO262" s="13"/>
      <c r="AP262" s="13"/>
      <c r="AQ262" s="13"/>
      <c r="AR262" s="13"/>
      <c r="AS262" s="13"/>
      <c r="AT262" s="13"/>
      <c r="AU262" s="13"/>
      <c r="AV262" s="13"/>
      <c r="AW262" s="13"/>
      <c r="AX262" s="13"/>
      <c r="AY262" s="13"/>
      <c r="AZ262" s="13"/>
      <c r="BA262" s="13"/>
      <c r="BB262" s="13">
        <v>260</v>
      </c>
      <c r="BC262" s="17">
        <v>130</v>
      </c>
      <c r="BD262" s="33" t="s">
        <v>0</v>
      </c>
    </row>
    <row r="263" spans="1:56" s="11" customFormat="1" ht="39.950000000000003" hidden="1" customHeight="1"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c r="Y263" s="13"/>
      <c r="Z263" s="13"/>
      <c r="AA263" s="13"/>
      <c r="AB263" s="13"/>
      <c r="AC263" s="13"/>
      <c r="AD263" s="13"/>
      <c r="AE263" s="13"/>
      <c r="AF263" s="13"/>
      <c r="AG263" s="13"/>
      <c r="AH263" s="13"/>
      <c r="AI263" s="13"/>
      <c r="AJ263" s="13"/>
      <c r="AK263" s="13"/>
      <c r="AL263" s="13"/>
      <c r="AM263" s="13"/>
      <c r="AN263" s="13"/>
      <c r="AO263" s="13"/>
      <c r="AP263" s="13"/>
      <c r="AQ263" s="13"/>
      <c r="AR263" s="13"/>
      <c r="AS263" s="13"/>
      <c r="AT263" s="13"/>
      <c r="AU263" s="13"/>
      <c r="AV263" s="13"/>
      <c r="AW263" s="13"/>
      <c r="AX263" s="13"/>
      <c r="AY263" s="13"/>
      <c r="AZ263" s="13"/>
      <c r="BA263" s="13"/>
      <c r="BB263" s="13">
        <v>261</v>
      </c>
      <c r="BC263" s="17">
        <v>130.5</v>
      </c>
      <c r="BD263" s="33" t="s">
        <v>0</v>
      </c>
    </row>
    <row r="264" spans="1:56" s="11" customFormat="1" ht="39.950000000000003" hidden="1" customHeight="1"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c r="Y264" s="13"/>
      <c r="Z264" s="13"/>
      <c r="AA264" s="13"/>
      <c r="AB264" s="13"/>
      <c r="AC264" s="13"/>
      <c r="AD264" s="13"/>
      <c r="AE264" s="13"/>
      <c r="AF264" s="13"/>
      <c r="AG264" s="13"/>
      <c r="AH264" s="13"/>
      <c r="AI264" s="13"/>
      <c r="AJ264" s="13"/>
      <c r="AK264" s="13"/>
      <c r="AL264" s="13"/>
      <c r="AM264" s="13"/>
      <c r="AN264" s="13"/>
      <c r="AO264" s="13"/>
      <c r="AP264" s="13"/>
      <c r="AQ264" s="13"/>
      <c r="AR264" s="13"/>
      <c r="AS264" s="13"/>
      <c r="AT264" s="13"/>
      <c r="AU264" s="13"/>
      <c r="AV264" s="13"/>
      <c r="AW264" s="13"/>
      <c r="AX264" s="13"/>
      <c r="AY264" s="13"/>
      <c r="AZ264" s="13"/>
      <c r="BA264" s="13"/>
      <c r="BB264" s="13">
        <v>262</v>
      </c>
      <c r="BC264" s="17">
        <v>131</v>
      </c>
      <c r="BD264" s="33" t="s">
        <v>0</v>
      </c>
    </row>
    <row r="265" spans="1:56" s="11" customFormat="1" ht="39.950000000000003" hidden="1" customHeight="1"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13"/>
      <c r="Z265" s="13"/>
      <c r="AA265" s="13"/>
      <c r="AB265" s="13"/>
      <c r="AC265" s="13"/>
      <c r="AD265" s="13"/>
      <c r="AE265" s="13"/>
      <c r="AF265" s="13"/>
      <c r="AG265" s="13"/>
      <c r="AH265" s="13"/>
      <c r="AI265" s="13"/>
      <c r="AJ265" s="13"/>
      <c r="AK265" s="13"/>
      <c r="AL265" s="13"/>
      <c r="AM265" s="13"/>
      <c r="AN265" s="13"/>
      <c r="AO265" s="13"/>
      <c r="AP265" s="13"/>
      <c r="AQ265" s="13"/>
      <c r="AR265" s="13"/>
      <c r="AS265" s="13"/>
      <c r="AT265" s="13"/>
      <c r="AU265" s="13"/>
      <c r="AV265" s="13"/>
      <c r="AW265" s="13"/>
      <c r="AX265" s="13"/>
      <c r="AY265" s="13"/>
      <c r="AZ265" s="13"/>
      <c r="BA265" s="13"/>
      <c r="BB265" s="13">
        <v>263</v>
      </c>
      <c r="BC265" s="17">
        <v>131.5</v>
      </c>
      <c r="BD265" s="33" t="s">
        <v>0</v>
      </c>
    </row>
    <row r="266" spans="1:56" s="11" customFormat="1" ht="39.950000000000003" hidden="1" customHeight="1"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c r="Y266" s="13"/>
      <c r="Z266" s="13"/>
      <c r="AA266" s="13"/>
      <c r="AB266" s="13"/>
      <c r="AC266" s="13"/>
      <c r="AD266" s="13"/>
      <c r="AE266" s="13"/>
      <c r="AF266" s="13"/>
      <c r="AG266" s="13"/>
      <c r="AH266" s="13"/>
      <c r="AI266" s="13"/>
      <c r="AJ266" s="13"/>
      <c r="AK266" s="13"/>
      <c r="AL266" s="13"/>
      <c r="AM266" s="13"/>
      <c r="AN266" s="13"/>
      <c r="AO266" s="13"/>
      <c r="AP266" s="13"/>
      <c r="AQ266" s="13"/>
      <c r="AR266" s="13"/>
      <c r="AS266" s="13"/>
      <c r="AT266" s="13"/>
      <c r="AU266" s="13"/>
      <c r="AV266" s="13"/>
      <c r="AW266" s="13"/>
      <c r="AX266" s="13"/>
      <c r="AY266" s="13"/>
      <c r="AZ266" s="13"/>
      <c r="BA266" s="13"/>
      <c r="BB266" s="13">
        <v>264</v>
      </c>
      <c r="BC266" s="17">
        <v>132</v>
      </c>
      <c r="BD266" s="33" t="s">
        <v>0</v>
      </c>
    </row>
    <row r="267" spans="1:56" s="11" customFormat="1" ht="39.950000000000003" hidden="1" customHeight="1"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c r="Y267" s="13"/>
      <c r="Z267" s="13"/>
      <c r="AA267" s="13"/>
      <c r="AB267" s="13"/>
      <c r="AC267" s="13"/>
      <c r="AD267" s="13"/>
      <c r="AE267" s="13"/>
      <c r="AF267" s="13"/>
      <c r="AG267" s="13"/>
      <c r="AH267" s="13"/>
      <c r="AI267" s="13"/>
      <c r="AJ267" s="13"/>
      <c r="AK267" s="13"/>
      <c r="AL267" s="13"/>
      <c r="AM267" s="13"/>
      <c r="AN267" s="13"/>
      <c r="AO267" s="13"/>
      <c r="AP267" s="13"/>
      <c r="AQ267" s="13"/>
      <c r="AR267" s="13"/>
      <c r="AS267" s="13"/>
      <c r="AT267" s="13"/>
      <c r="AU267" s="13"/>
      <c r="AV267" s="13"/>
      <c r="AW267" s="13"/>
      <c r="AX267" s="13"/>
      <c r="AY267" s="13"/>
      <c r="AZ267" s="13"/>
      <c r="BA267" s="13"/>
      <c r="BB267" s="13">
        <v>265</v>
      </c>
      <c r="BC267" s="17">
        <v>132.5</v>
      </c>
      <c r="BD267" s="33" t="s">
        <v>0</v>
      </c>
    </row>
    <row r="268" spans="1:56" s="11" customFormat="1" ht="39.950000000000003" hidden="1" customHeight="1"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c r="Y268" s="13"/>
      <c r="Z268" s="13"/>
      <c r="AA268" s="13"/>
      <c r="AB268" s="13"/>
      <c r="AC268" s="13"/>
      <c r="AD268" s="13"/>
      <c r="AE268" s="13"/>
      <c r="AF268" s="13"/>
      <c r="AG268" s="13"/>
      <c r="AH268" s="13"/>
      <c r="AI268" s="13"/>
      <c r="AJ268" s="13"/>
      <c r="AK268" s="13"/>
      <c r="AL268" s="13"/>
      <c r="AM268" s="13"/>
      <c r="AN268" s="13"/>
      <c r="AO268" s="13"/>
      <c r="AP268" s="13"/>
      <c r="AQ268" s="13"/>
      <c r="AR268" s="13"/>
      <c r="AS268" s="13"/>
      <c r="AT268" s="13"/>
      <c r="AU268" s="13"/>
      <c r="AV268" s="13"/>
      <c r="AW268" s="13"/>
      <c r="AX268" s="13"/>
      <c r="AY268" s="13"/>
      <c r="AZ268" s="13"/>
      <c r="BA268" s="13"/>
      <c r="BB268" s="13">
        <v>266</v>
      </c>
      <c r="BC268" s="17">
        <v>133</v>
      </c>
      <c r="BD268" s="33" t="s">
        <v>0</v>
      </c>
    </row>
    <row r="269" spans="1:56" s="11" customFormat="1" ht="39.950000000000003" hidden="1" customHeight="1"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c r="Y269" s="13"/>
      <c r="Z269" s="13"/>
      <c r="AA269" s="13"/>
      <c r="AB269" s="13"/>
      <c r="AC269" s="13"/>
      <c r="AD269" s="13"/>
      <c r="AE269" s="13"/>
      <c r="AF269" s="13"/>
      <c r="AG269" s="13"/>
      <c r="AH269" s="13"/>
      <c r="AI269" s="13"/>
      <c r="AJ269" s="13"/>
      <c r="AK269" s="13"/>
      <c r="AL269" s="13"/>
      <c r="AM269" s="13"/>
      <c r="AN269" s="13"/>
      <c r="AO269" s="13"/>
      <c r="AP269" s="13"/>
      <c r="AQ269" s="13"/>
      <c r="AR269" s="13"/>
      <c r="AS269" s="13"/>
      <c r="AT269" s="13"/>
      <c r="AU269" s="13"/>
      <c r="AV269" s="13"/>
      <c r="AW269" s="13"/>
      <c r="AX269" s="13"/>
      <c r="AY269" s="13"/>
      <c r="AZ269" s="13"/>
      <c r="BA269" s="13"/>
      <c r="BB269" s="13">
        <v>267</v>
      </c>
      <c r="BC269" s="17">
        <v>133.5</v>
      </c>
      <c r="BD269" s="33" t="s">
        <v>0</v>
      </c>
    </row>
    <row r="270" spans="1:56" ht="39.950000000000003" hidden="1" customHeight="1" x14ac:dyDescent="0.25">
      <c r="BB270" s="13">
        <v>268</v>
      </c>
      <c r="BC270" s="17">
        <v>134</v>
      </c>
      <c r="BD270" s="33" t="s">
        <v>0</v>
      </c>
    </row>
    <row r="271" spans="1:56" ht="39.950000000000003" hidden="1" customHeight="1" x14ac:dyDescent="0.25">
      <c r="BB271" s="13">
        <v>269</v>
      </c>
      <c r="BC271" s="17">
        <v>134.5</v>
      </c>
      <c r="BD271" s="33" t="s">
        <v>0</v>
      </c>
    </row>
    <row r="272" spans="1:56" ht="39.950000000000003" hidden="1" customHeight="1" x14ac:dyDescent="0.25">
      <c r="BB272" s="13">
        <v>270</v>
      </c>
      <c r="BC272" s="17">
        <v>135</v>
      </c>
      <c r="BD272" s="33" t="s">
        <v>0</v>
      </c>
    </row>
    <row r="273" spans="54:56" ht="39.950000000000003" hidden="1" customHeight="1" x14ac:dyDescent="0.25">
      <c r="BB273" s="13">
        <v>271</v>
      </c>
      <c r="BC273" s="17">
        <v>135.5</v>
      </c>
      <c r="BD273" s="33" t="s">
        <v>0</v>
      </c>
    </row>
    <row r="274" spans="54:56" ht="39.950000000000003" hidden="1" customHeight="1" x14ac:dyDescent="0.25">
      <c r="BB274" s="13">
        <v>272</v>
      </c>
      <c r="BC274" s="17">
        <v>136</v>
      </c>
      <c r="BD274" s="33" t="s">
        <v>0</v>
      </c>
    </row>
    <row r="275" spans="54:56" ht="39.950000000000003" hidden="1" customHeight="1" x14ac:dyDescent="0.25">
      <c r="BB275" s="13">
        <v>273</v>
      </c>
      <c r="BC275" s="17">
        <v>136.5</v>
      </c>
      <c r="BD275" s="33" t="s">
        <v>0</v>
      </c>
    </row>
    <row r="276" spans="54:56" ht="39.950000000000003" hidden="1" customHeight="1" x14ac:dyDescent="0.25">
      <c r="BB276" s="13">
        <v>274</v>
      </c>
      <c r="BC276" s="17">
        <v>137</v>
      </c>
      <c r="BD276" s="33" t="s">
        <v>0</v>
      </c>
    </row>
    <row r="277" spans="54:56" ht="39.950000000000003" hidden="1" customHeight="1" x14ac:dyDescent="0.25">
      <c r="BB277" s="13">
        <v>275</v>
      </c>
      <c r="BC277" s="17">
        <v>137.5</v>
      </c>
      <c r="BD277" s="33" t="s">
        <v>0</v>
      </c>
    </row>
    <row r="278" spans="54:56" ht="39.950000000000003" hidden="1" customHeight="1" x14ac:dyDescent="0.25">
      <c r="BB278" s="13">
        <v>276</v>
      </c>
      <c r="BC278" s="17">
        <v>138</v>
      </c>
      <c r="BD278" s="33" t="s">
        <v>0</v>
      </c>
    </row>
    <row r="279" spans="54:56" ht="39.950000000000003" hidden="1" customHeight="1" x14ac:dyDescent="0.25">
      <c r="BB279" s="13">
        <v>277</v>
      </c>
      <c r="BC279" s="17">
        <v>138.5</v>
      </c>
      <c r="BD279" s="33" t="s">
        <v>0</v>
      </c>
    </row>
    <row r="280" spans="54:56" ht="39.950000000000003" hidden="1" customHeight="1" x14ac:dyDescent="0.25">
      <c r="BB280" s="13">
        <v>278</v>
      </c>
      <c r="BC280" s="17">
        <v>139</v>
      </c>
      <c r="BD280" s="33" t="s">
        <v>0</v>
      </c>
    </row>
    <row r="281" spans="54:56" ht="39.950000000000003" hidden="1" customHeight="1" x14ac:dyDescent="0.25">
      <c r="BB281" s="13">
        <v>279</v>
      </c>
      <c r="BC281" s="17">
        <v>139.5</v>
      </c>
      <c r="BD281" s="33" t="s">
        <v>0</v>
      </c>
    </row>
    <row r="282" spans="54:56" ht="39.950000000000003" hidden="1" customHeight="1" x14ac:dyDescent="0.25">
      <c r="BB282" s="13">
        <v>280</v>
      </c>
      <c r="BC282" s="17">
        <v>140</v>
      </c>
      <c r="BD282" s="33" t="s">
        <v>0</v>
      </c>
    </row>
    <row r="283" spans="54:56" ht="39.950000000000003" hidden="1" customHeight="1" x14ac:dyDescent="0.25">
      <c r="BB283" s="13">
        <v>281</v>
      </c>
      <c r="BC283" s="17">
        <v>140.5</v>
      </c>
      <c r="BD283" s="33" t="s">
        <v>0</v>
      </c>
    </row>
    <row r="284" spans="54:56" ht="39.950000000000003" hidden="1" customHeight="1" x14ac:dyDescent="0.25">
      <c r="BB284" s="13">
        <v>282</v>
      </c>
      <c r="BC284" s="17">
        <v>141</v>
      </c>
      <c r="BD284" s="33" t="s">
        <v>0</v>
      </c>
    </row>
    <row r="285" spans="54:56" ht="39.950000000000003" hidden="1" customHeight="1" x14ac:dyDescent="0.25">
      <c r="BB285" s="13">
        <v>283</v>
      </c>
      <c r="BC285" s="17">
        <v>141.5</v>
      </c>
      <c r="BD285" s="33" t="s">
        <v>0</v>
      </c>
    </row>
    <row r="286" spans="54:56" ht="39.950000000000003" hidden="1" customHeight="1" x14ac:dyDescent="0.25">
      <c r="BB286" s="13">
        <v>284</v>
      </c>
      <c r="BC286" s="17">
        <v>142</v>
      </c>
      <c r="BD286" s="33" t="s">
        <v>0</v>
      </c>
    </row>
    <row r="287" spans="54:56" ht="39.950000000000003" hidden="1" customHeight="1" x14ac:dyDescent="0.25">
      <c r="BB287" s="13">
        <v>285</v>
      </c>
      <c r="BC287" s="17">
        <v>142.5</v>
      </c>
      <c r="BD287" s="33" t="s">
        <v>0</v>
      </c>
    </row>
    <row r="288" spans="54:56" ht="39.950000000000003" hidden="1" customHeight="1" x14ac:dyDescent="0.25">
      <c r="BB288" s="13">
        <v>286</v>
      </c>
      <c r="BC288" s="17">
        <v>143</v>
      </c>
      <c r="BD288" s="33" t="s">
        <v>0</v>
      </c>
    </row>
    <row r="289" spans="54:56" ht="39.950000000000003" hidden="1" customHeight="1" x14ac:dyDescent="0.25">
      <c r="BB289" s="13">
        <v>287</v>
      </c>
      <c r="BC289" s="17">
        <v>143.5</v>
      </c>
      <c r="BD289" s="33" t="s">
        <v>0</v>
      </c>
    </row>
    <row r="290" spans="54:56" ht="39.950000000000003" hidden="1" customHeight="1" x14ac:dyDescent="0.25">
      <c r="BB290" s="13">
        <v>288</v>
      </c>
      <c r="BC290" s="17">
        <v>144</v>
      </c>
      <c r="BD290" s="33" t="s">
        <v>0</v>
      </c>
    </row>
    <row r="291" spans="54:56" ht="39.950000000000003" hidden="1" customHeight="1" x14ac:dyDescent="0.25">
      <c r="BB291" s="13">
        <v>289</v>
      </c>
      <c r="BC291" s="17">
        <v>144.5</v>
      </c>
      <c r="BD291" s="33" t="s">
        <v>0</v>
      </c>
    </row>
    <row r="292" spans="54:56" ht="39.950000000000003" hidden="1" customHeight="1" x14ac:dyDescent="0.25">
      <c r="BB292" s="13">
        <v>290</v>
      </c>
      <c r="BC292" s="17">
        <v>145</v>
      </c>
      <c r="BD292" s="33" t="s">
        <v>0</v>
      </c>
    </row>
    <row r="293" spans="54:56" ht="39.950000000000003" hidden="1" customHeight="1" x14ac:dyDescent="0.25">
      <c r="BB293" s="13">
        <v>291</v>
      </c>
      <c r="BC293" s="17">
        <v>145.5</v>
      </c>
      <c r="BD293" s="33" t="s">
        <v>0</v>
      </c>
    </row>
    <row r="294" spans="54:56" ht="39.950000000000003" hidden="1" customHeight="1" x14ac:dyDescent="0.25">
      <c r="BB294" s="13">
        <v>292</v>
      </c>
      <c r="BC294" s="17">
        <v>146</v>
      </c>
      <c r="BD294" s="33" t="s">
        <v>0</v>
      </c>
    </row>
    <row r="295" spans="54:56" ht="39.950000000000003" hidden="1" customHeight="1" x14ac:dyDescent="0.25">
      <c r="BB295" s="13">
        <v>293</v>
      </c>
      <c r="BC295" s="17">
        <v>146.5</v>
      </c>
      <c r="BD295" s="33" t="s">
        <v>0</v>
      </c>
    </row>
    <row r="296" spans="54:56" ht="39.950000000000003" hidden="1" customHeight="1" x14ac:dyDescent="0.25">
      <c r="BB296" s="13">
        <v>294</v>
      </c>
      <c r="BC296" s="17">
        <v>147</v>
      </c>
      <c r="BD296" s="33" t="s">
        <v>0</v>
      </c>
    </row>
    <row r="297" spans="54:56" ht="39.950000000000003" hidden="1" customHeight="1" x14ac:dyDescent="0.25">
      <c r="BB297" s="13">
        <v>295</v>
      </c>
      <c r="BC297" s="17">
        <v>147.5</v>
      </c>
      <c r="BD297" s="33" t="s">
        <v>0</v>
      </c>
    </row>
    <row r="298" spans="54:56" ht="39.950000000000003" hidden="1" customHeight="1" x14ac:dyDescent="0.25">
      <c r="BB298" s="13">
        <v>296</v>
      </c>
      <c r="BC298" s="17">
        <v>148</v>
      </c>
      <c r="BD298" s="33" t="s">
        <v>0</v>
      </c>
    </row>
    <row r="299" spans="54:56" ht="39.950000000000003" hidden="1" customHeight="1" x14ac:dyDescent="0.25">
      <c r="BB299" s="13">
        <v>297</v>
      </c>
      <c r="BC299" s="17">
        <v>148.5</v>
      </c>
      <c r="BD299" s="33" t="s">
        <v>0</v>
      </c>
    </row>
    <row r="300" spans="54:56" ht="39.950000000000003" hidden="1" customHeight="1" x14ac:dyDescent="0.25">
      <c r="BB300" s="13">
        <v>298</v>
      </c>
      <c r="BC300" s="17">
        <v>149</v>
      </c>
      <c r="BD300" s="33" t="s">
        <v>0</v>
      </c>
    </row>
    <row r="301" spans="54:56" ht="39.950000000000003" hidden="1" customHeight="1" x14ac:dyDescent="0.25">
      <c r="BB301" s="13">
        <v>299</v>
      </c>
      <c r="BC301" s="17">
        <v>149.5</v>
      </c>
      <c r="BD301" s="33" t="s">
        <v>0</v>
      </c>
    </row>
    <row r="302" spans="54:56" ht="39.950000000000003" hidden="1" customHeight="1" x14ac:dyDescent="0.25">
      <c r="BB302" s="13">
        <v>300</v>
      </c>
      <c r="BC302" s="17">
        <v>150</v>
      </c>
      <c r="BD302" s="33" t="s">
        <v>0</v>
      </c>
    </row>
    <row r="303" spans="54:56" ht="39.950000000000003" hidden="1" customHeight="1" x14ac:dyDescent="0.25">
      <c r="BB303" s="13">
        <v>301</v>
      </c>
      <c r="BC303" s="17">
        <v>150.5</v>
      </c>
      <c r="BD303" s="33" t="s">
        <v>0</v>
      </c>
    </row>
    <row r="304" spans="54:56" ht="39.950000000000003" hidden="1" customHeight="1" x14ac:dyDescent="0.25">
      <c r="BB304" s="13">
        <v>302</v>
      </c>
      <c r="BC304" s="17">
        <v>151</v>
      </c>
      <c r="BD304" s="33" t="s">
        <v>0</v>
      </c>
    </row>
    <row r="305" spans="54:56" ht="39.950000000000003" hidden="1" customHeight="1" x14ac:dyDescent="0.25">
      <c r="BB305" s="13">
        <v>303</v>
      </c>
      <c r="BC305" s="17">
        <v>151.5</v>
      </c>
      <c r="BD305" s="33" t="s">
        <v>0</v>
      </c>
    </row>
    <row r="306" spans="54:56" ht="39.950000000000003" hidden="1" customHeight="1" x14ac:dyDescent="0.25">
      <c r="BB306" s="13">
        <v>304</v>
      </c>
      <c r="BC306" s="17">
        <v>152</v>
      </c>
      <c r="BD306" s="33" t="s">
        <v>0</v>
      </c>
    </row>
    <row r="307" spans="54:56" ht="39.950000000000003" hidden="1" customHeight="1" x14ac:dyDescent="0.25">
      <c r="BB307" s="13">
        <v>305</v>
      </c>
      <c r="BC307" s="17">
        <v>152.5</v>
      </c>
      <c r="BD307" s="33" t="s">
        <v>0</v>
      </c>
    </row>
    <row r="308" spans="54:56" ht="39.950000000000003" hidden="1" customHeight="1" x14ac:dyDescent="0.25">
      <c r="BB308" s="13">
        <v>306</v>
      </c>
      <c r="BC308" s="17">
        <v>153</v>
      </c>
      <c r="BD308" s="33" t="s">
        <v>0</v>
      </c>
    </row>
    <row r="309" spans="54:56" ht="39.950000000000003" hidden="1" customHeight="1" x14ac:dyDescent="0.25">
      <c r="BB309" s="13">
        <v>307</v>
      </c>
      <c r="BC309" s="17">
        <v>153.5</v>
      </c>
      <c r="BD309" s="33" t="s">
        <v>0</v>
      </c>
    </row>
    <row r="310" spans="54:56" ht="39.950000000000003" hidden="1" customHeight="1" x14ac:dyDescent="0.25">
      <c r="BB310" s="13">
        <v>308</v>
      </c>
      <c r="BC310" s="17">
        <v>154</v>
      </c>
      <c r="BD310" s="33" t="s">
        <v>0</v>
      </c>
    </row>
    <row r="311" spans="54:56" ht="39.950000000000003" hidden="1" customHeight="1" x14ac:dyDescent="0.25">
      <c r="BB311" s="13">
        <v>309</v>
      </c>
      <c r="BC311" s="17">
        <v>154.5</v>
      </c>
      <c r="BD311" s="33" t="s">
        <v>0</v>
      </c>
    </row>
    <row r="312" spans="54:56" ht="39.950000000000003" hidden="1" customHeight="1" x14ac:dyDescent="0.25">
      <c r="BB312" s="13">
        <v>310</v>
      </c>
      <c r="BC312" s="17">
        <v>155</v>
      </c>
      <c r="BD312" s="33" t="s">
        <v>0</v>
      </c>
    </row>
    <row r="313" spans="54:56" ht="39.950000000000003" hidden="1" customHeight="1" x14ac:dyDescent="0.25">
      <c r="BB313" s="13">
        <v>311</v>
      </c>
      <c r="BC313" s="17">
        <v>155.5</v>
      </c>
      <c r="BD313" s="33" t="s">
        <v>0</v>
      </c>
    </row>
    <row r="314" spans="54:56" ht="39.950000000000003" hidden="1" customHeight="1" x14ac:dyDescent="0.25">
      <c r="BB314" s="13">
        <v>312</v>
      </c>
      <c r="BC314" s="17">
        <v>156</v>
      </c>
      <c r="BD314" s="33" t="s">
        <v>0</v>
      </c>
    </row>
    <row r="315" spans="54:56" ht="39.950000000000003" hidden="1" customHeight="1" x14ac:dyDescent="0.25">
      <c r="BB315" s="13">
        <v>313</v>
      </c>
      <c r="BC315" s="17">
        <v>156.5</v>
      </c>
      <c r="BD315" s="33" t="s">
        <v>0</v>
      </c>
    </row>
    <row r="316" spans="54:56" ht="39.950000000000003" hidden="1" customHeight="1" x14ac:dyDescent="0.25">
      <c r="BB316" s="13">
        <v>314</v>
      </c>
      <c r="BC316" s="17">
        <v>157</v>
      </c>
      <c r="BD316" s="33" t="s">
        <v>0</v>
      </c>
    </row>
    <row r="317" spans="54:56" ht="39.950000000000003" hidden="1" customHeight="1" x14ac:dyDescent="0.25">
      <c r="BB317" s="13">
        <v>315</v>
      </c>
      <c r="BC317" s="17">
        <v>157.5</v>
      </c>
      <c r="BD317" s="33" t="s">
        <v>0</v>
      </c>
    </row>
    <row r="318" spans="54:56" ht="39.950000000000003" hidden="1" customHeight="1" x14ac:dyDescent="0.25">
      <c r="BB318" s="13">
        <v>316</v>
      </c>
      <c r="BC318" s="17">
        <v>158</v>
      </c>
      <c r="BD318" s="33" t="s">
        <v>0</v>
      </c>
    </row>
    <row r="319" spans="54:56" ht="39.950000000000003" hidden="1" customHeight="1" x14ac:dyDescent="0.25">
      <c r="BB319" s="13">
        <v>317</v>
      </c>
      <c r="BC319" s="17">
        <v>158.5</v>
      </c>
      <c r="BD319" s="33" t="s">
        <v>0</v>
      </c>
    </row>
    <row r="320" spans="54:56" ht="39.950000000000003" hidden="1" customHeight="1" x14ac:dyDescent="0.25">
      <c r="BB320" s="13">
        <v>318</v>
      </c>
      <c r="BC320" s="17">
        <v>159</v>
      </c>
      <c r="BD320" s="33" t="s">
        <v>0</v>
      </c>
    </row>
    <row r="321" spans="54:56" ht="39.950000000000003" hidden="1" customHeight="1" x14ac:dyDescent="0.25">
      <c r="BB321" s="13">
        <v>319</v>
      </c>
      <c r="BC321" s="17">
        <v>159.5</v>
      </c>
      <c r="BD321" s="33" t="s">
        <v>0</v>
      </c>
    </row>
    <row r="322" spans="54:56" ht="39.950000000000003" hidden="1" customHeight="1" x14ac:dyDescent="0.25">
      <c r="BB322" s="13">
        <v>320</v>
      </c>
      <c r="BC322" s="17">
        <v>160</v>
      </c>
      <c r="BD322" s="33" t="s">
        <v>0</v>
      </c>
    </row>
    <row r="323" spans="54:56" ht="39.950000000000003" hidden="1" customHeight="1" x14ac:dyDescent="0.25">
      <c r="BB323" s="13">
        <v>321</v>
      </c>
      <c r="BC323" s="17">
        <v>160.5</v>
      </c>
      <c r="BD323" s="33" t="s">
        <v>0</v>
      </c>
    </row>
    <row r="324" spans="54:56" ht="39.950000000000003" hidden="1" customHeight="1" x14ac:dyDescent="0.25">
      <c r="BB324" s="13">
        <v>322</v>
      </c>
      <c r="BC324" s="17">
        <v>161</v>
      </c>
      <c r="BD324" s="33" t="s">
        <v>0</v>
      </c>
    </row>
    <row r="325" spans="54:56" ht="39.950000000000003" hidden="1" customHeight="1" x14ac:dyDescent="0.25">
      <c r="BB325" s="13">
        <v>323</v>
      </c>
      <c r="BC325" s="17">
        <v>161.5</v>
      </c>
      <c r="BD325" s="33" t="s">
        <v>0</v>
      </c>
    </row>
    <row r="326" spans="54:56" ht="39.950000000000003" hidden="1" customHeight="1" x14ac:dyDescent="0.25">
      <c r="BB326" s="13">
        <v>324</v>
      </c>
      <c r="BC326" s="17">
        <v>162</v>
      </c>
      <c r="BD326" s="33" t="s">
        <v>0</v>
      </c>
    </row>
    <row r="327" spans="54:56" ht="39.950000000000003" hidden="1" customHeight="1" x14ac:dyDescent="0.25">
      <c r="BB327" s="13">
        <v>325</v>
      </c>
      <c r="BC327" s="17">
        <v>162.5</v>
      </c>
      <c r="BD327" s="33" t="s">
        <v>0</v>
      </c>
    </row>
    <row r="328" spans="54:56" ht="39.950000000000003" hidden="1" customHeight="1" x14ac:dyDescent="0.25">
      <c r="BB328" s="13">
        <v>326</v>
      </c>
      <c r="BC328" s="17">
        <v>163</v>
      </c>
      <c r="BD328" s="33" t="s">
        <v>0</v>
      </c>
    </row>
    <row r="329" spans="54:56" ht="39.950000000000003" hidden="1" customHeight="1" x14ac:dyDescent="0.25">
      <c r="BB329" s="13">
        <v>327</v>
      </c>
      <c r="BC329" s="17">
        <v>163.5</v>
      </c>
      <c r="BD329" s="33" t="s">
        <v>0</v>
      </c>
    </row>
    <row r="330" spans="54:56" ht="39.950000000000003" hidden="1" customHeight="1" x14ac:dyDescent="0.25">
      <c r="BB330" s="13">
        <v>328</v>
      </c>
      <c r="BC330" s="17">
        <v>164</v>
      </c>
      <c r="BD330" s="33" t="s">
        <v>0</v>
      </c>
    </row>
    <row r="331" spans="54:56" ht="39.950000000000003" hidden="1" customHeight="1" x14ac:dyDescent="0.25">
      <c r="BB331" s="13">
        <v>329</v>
      </c>
      <c r="BC331" s="17">
        <v>164.5</v>
      </c>
      <c r="BD331" s="33" t="s">
        <v>0</v>
      </c>
    </row>
    <row r="332" spans="54:56" ht="39.950000000000003" hidden="1" customHeight="1" x14ac:dyDescent="0.25">
      <c r="BB332" s="13">
        <v>330</v>
      </c>
      <c r="BC332" s="17">
        <v>165</v>
      </c>
      <c r="BD332" s="33" t="s">
        <v>0</v>
      </c>
    </row>
    <row r="333" spans="54:56" ht="39.950000000000003" hidden="1" customHeight="1" x14ac:dyDescent="0.25">
      <c r="BB333" s="13">
        <v>331</v>
      </c>
      <c r="BC333" s="17">
        <v>165.5</v>
      </c>
      <c r="BD333" s="33" t="s">
        <v>0</v>
      </c>
    </row>
    <row r="334" spans="54:56" ht="39.950000000000003" hidden="1" customHeight="1" x14ac:dyDescent="0.25">
      <c r="BB334" s="13">
        <v>332</v>
      </c>
      <c r="BC334" s="17">
        <v>166</v>
      </c>
      <c r="BD334" s="33" t="s">
        <v>0</v>
      </c>
    </row>
    <row r="335" spans="54:56" ht="39.950000000000003" hidden="1" customHeight="1" x14ac:dyDescent="0.25">
      <c r="BB335" s="13">
        <v>333</v>
      </c>
      <c r="BC335" s="17">
        <v>166.5</v>
      </c>
      <c r="BD335" s="33" t="s">
        <v>0</v>
      </c>
    </row>
    <row r="336" spans="54:56" ht="39.950000000000003" hidden="1" customHeight="1" x14ac:dyDescent="0.25">
      <c r="BB336" s="13">
        <v>334</v>
      </c>
      <c r="BC336" s="17">
        <v>167</v>
      </c>
      <c r="BD336" s="33" t="s">
        <v>0</v>
      </c>
    </row>
    <row r="337" spans="54:56" ht="39.950000000000003" hidden="1" customHeight="1" x14ac:dyDescent="0.25">
      <c r="BB337" s="13">
        <v>335</v>
      </c>
      <c r="BC337" s="17">
        <v>167.5</v>
      </c>
      <c r="BD337" s="33" t="s">
        <v>0</v>
      </c>
    </row>
    <row r="338" spans="54:56" ht="39.950000000000003" hidden="1" customHeight="1" x14ac:dyDescent="0.25">
      <c r="BB338" s="13">
        <v>336</v>
      </c>
      <c r="BC338" s="17">
        <v>168</v>
      </c>
      <c r="BD338" s="33" t="s">
        <v>0</v>
      </c>
    </row>
    <row r="339" spans="54:56" ht="39.950000000000003" hidden="1" customHeight="1" x14ac:dyDescent="0.25">
      <c r="BB339" s="13">
        <v>337</v>
      </c>
      <c r="BC339" s="17">
        <v>168.5</v>
      </c>
      <c r="BD339" s="33" t="s">
        <v>0</v>
      </c>
    </row>
    <row r="340" spans="54:56" ht="39.950000000000003" hidden="1" customHeight="1" x14ac:dyDescent="0.25">
      <c r="BB340" s="13">
        <v>338</v>
      </c>
      <c r="BC340" s="17">
        <v>169</v>
      </c>
      <c r="BD340" s="33" t="s">
        <v>0</v>
      </c>
    </row>
    <row r="341" spans="54:56" ht="39.950000000000003" hidden="1" customHeight="1" x14ac:dyDescent="0.25">
      <c r="BB341" s="13">
        <v>339</v>
      </c>
      <c r="BC341" s="17">
        <v>169.5</v>
      </c>
      <c r="BD341" s="33" t="s">
        <v>0</v>
      </c>
    </row>
    <row r="342" spans="54:56" ht="39.950000000000003" hidden="1" customHeight="1" x14ac:dyDescent="0.25">
      <c r="BB342" s="13">
        <v>340</v>
      </c>
      <c r="BC342" s="17">
        <v>170</v>
      </c>
      <c r="BD342" s="33" t="s">
        <v>0</v>
      </c>
    </row>
    <row r="343" spans="54:56" ht="39.950000000000003" hidden="1" customHeight="1" x14ac:dyDescent="0.25">
      <c r="BB343" s="13">
        <v>341</v>
      </c>
      <c r="BC343" s="17">
        <v>170.5</v>
      </c>
      <c r="BD343" s="33" t="s">
        <v>0</v>
      </c>
    </row>
    <row r="344" spans="54:56" ht="39.950000000000003" hidden="1" customHeight="1" x14ac:dyDescent="0.25">
      <c r="BB344" s="13">
        <v>342</v>
      </c>
      <c r="BC344" s="17">
        <v>171</v>
      </c>
      <c r="BD344" s="33" t="s">
        <v>0</v>
      </c>
    </row>
    <row r="345" spans="54:56" ht="39.950000000000003" hidden="1" customHeight="1" x14ac:dyDescent="0.25">
      <c r="BB345" s="13">
        <v>343</v>
      </c>
      <c r="BC345" s="17">
        <v>171.5</v>
      </c>
      <c r="BD345" s="33" t="s">
        <v>0</v>
      </c>
    </row>
    <row r="346" spans="54:56" ht="39.950000000000003" hidden="1" customHeight="1" x14ac:dyDescent="0.25">
      <c r="BB346" s="13">
        <v>344</v>
      </c>
      <c r="BC346" s="17">
        <v>172</v>
      </c>
      <c r="BD346" s="33" t="s">
        <v>0</v>
      </c>
    </row>
    <row r="347" spans="54:56" ht="39.950000000000003" hidden="1" customHeight="1" x14ac:dyDescent="0.25">
      <c r="BB347" s="13">
        <v>345</v>
      </c>
      <c r="BC347" s="17">
        <v>172.5</v>
      </c>
      <c r="BD347" s="33" t="s">
        <v>0</v>
      </c>
    </row>
    <row r="348" spans="54:56" ht="39.950000000000003" hidden="1" customHeight="1" x14ac:dyDescent="0.25">
      <c r="BB348" s="13">
        <v>346</v>
      </c>
      <c r="BC348" s="17">
        <v>173</v>
      </c>
      <c r="BD348" s="33" t="s">
        <v>0</v>
      </c>
    </row>
    <row r="349" spans="54:56" ht="39.950000000000003" hidden="1" customHeight="1" x14ac:dyDescent="0.25">
      <c r="BB349" s="13">
        <v>347</v>
      </c>
      <c r="BC349" s="17">
        <v>173.5</v>
      </c>
      <c r="BD349" s="33" t="s">
        <v>0</v>
      </c>
    </row>
    <row r="350" spans="54:56" ht="39.950000000000003" hidden="1" customHeight="1" x14ac:dyDescent="0.25">
      <c r="BB350" s="13">
        <v>348</v>
      </c>
      <c r="BC350" s="17">
        <v>174</v>
      </c>
      <c r="BD350" s="33" t="s">
        <v>0</v>
      </c>
    </row>
    <row r="351" spans="54:56" ht="39.950000000000003" hidden="1" customHeight="1" x14ac:dyDescent="0.25">
      <c r="BB351" s="13">
        <v>349</v>
      </c>
      <c r="BC351" s="17">
        <v>174.5</v>
      </c>
      <c r="BD351" s="33" t="s">
        <v>0</v>
      </c>
    </row>
    <row r="352" spans="54:56" ht="39.950000000000003" hidden="1" customHeight="1" x14ac:dyDescent="0.25">
      <c r="BB352" s="13">
        <v>350</v>
      </c>
      <c r="BC352" s="17">
        <v>175</v>
      </c>
      <c r="BD352" s="33" t="s">
        <v>0</v>
      </c>
    </row>
    <row r="353" spans="54:56" ht="39.950000000000003" hidden="1" customHeight="1" x14ac:dyDescent="0.25">
      <c r="BB353" s="13">
        <v>351</v>
      </c>
      <c r="BC353" s="17">
        <v>175.5</v>
      </c>
      <c r="BD353" s="33" t="s">
        <v>0</v>
      </c>
    </row>
    <row r="354" spans="54:56" ht="39.950000000000003" hidden="1" customHeight="1" x14ac:dyDescent="0.25">
      <c r="BB354" s="13">
        <v>352</v>
      </c>
      <c r="BC354" s="17">
        <v>176</v>
      </c>
      <c r="BD354" s="33" t="s">
        <v>0</v>
      </c>
    </row>
    <row r="355" spans="54:56" ht="39.950000000000003" hidden="1" customHeight="1" x14ac:dyDescent="0.25">
      <c r="BB355" s="13">
        <v>353</v>
      </c>
      <c r="BC355" s="17">
        <v>176.5</v>
      </c>
      <c r="BD355" s="33" t="s">
        <v>0</v>
      </c>
    </row>
    <row r="356" spans="54:56" ht="39.950000000000003" hidden="1" customHeight="1" x14ac:dyDescent="0.25">
      <c r="BB356" s="13">
        <v>354</v>
      </c>
      <c r="BC356" s="17">
        <v>177</v>
      </c>
      <c r="BD356" s="33" t="s">
        <v>0</v>
      </c>
    </row>
    <row r="357" spans="54:56" ht="39.950000000000003" hidden="1" customHeight="1" x14ac:dyDescent="0.25">
      <c r="BB357" s="13">
        <v>355</v>
      </c>
      <c r="BC357" s="17">
        <v>177.5</v>
      </c>
      <c r="BD357" s="33" t="s">
        <v>0</v>
      </c>
    </row>
    <row r="358" spans="54:56" ht="39.950000000000003" hidden="1" customHeight="1" x14ac:dyDescent="0.25">
      <c r="BB358" s="13">
        <v>356</v>
      </c>
      <c r="BC358" s="17">
        <v>178</v>
      </c>
      <c r="BD358" s="33" t="s">
        <v>0</v>
      </c>
    </row>
    <row r="359" spans="54:56" ht="39.950000000000003" hidden="1" customHeight="1" x14ac:dyDescent="0.25">
      <c r="BB359" s="13">
        <v>357</v>
      </c>
      <c r="BC359" s="17">
        <v>178.5</v>
      </c>
      <c r="BD359" s="33" t="s">
        <v>0</v>
      </c>
    </row>
    <row r="360" spans="54:56" ht="39.950000000000003" hidden="1" customHeight="1" x14ac:dyDescent="0.25">
      <c r="BB360" s="13">
        <v>358</v>
      </c>
      <c r="BC360" s="17">
        <v>179</v>
      </c>
      <c r="BD360" s="33" t="s">
        <v>0</v>
      </c>
    </row>
    <row r="361" spans="54:56" ht="39.950000000000003" hidden="1" customHeight="1" x14ac:dyDescent="0.25">
      <c r="BB361" s="13">
        <v>359</v>
      </c>
      <c r="BC361" s="17">
        <v>179.5</v>
      </c>
      <c r="BD361" s="33" t="s">
        <v>0</v>
      </c>
    </row>
    <row r="362" spans="54:56" ht="39.950000000000003" hidden="1" customHeight="1" x14ac:dyDescent="0.25">
      <c r="BB362" s="13">
        <v>360</v>
      </c>
      <c r="BC362" s="17">
        <v>180</v>
      </c>
      <c r="BD362" s="33" t="s">
        <v>0</v>
      </c>
    </row>
    <row r="363" spans="54:56" ht="9.9499999999999993" hidden="1" customHeight="1" x14ac:dyDescent="0.25"/>
  </sheetData>
  <sheetProtection algorithmName="SHA-512" hashValue="YeTjo8xnSqT5UOifVhDUMKYMieeDpUrmEM9V9U4RoSnietcvA12yCWFsNRF2kqTSnjivTYliJpr9YFRXlMh3mw==" saltValue="IPh1zLvWsiKBOHAE5aMW2g==" spinCount="100000" sheet="1" objects="1" scenarios="1" selectLockedCells="1"/>
  <mergeCells count="43">
    <mergeCell ref="B15:C15"/>
    <mergeCell ref="B25:C25"/>
    <mergeCell ref="B26:C26"/>
    <mergeCell ref="B27:C27"/>
    <mergeCell ref="B28:C28"/>
    <mergeCell ref="C1:C4"/>
    <mergeCell ref="B1:B4"/>
    <mergeCell ref="B5:B9"/>
    <mergeCell ref="C5:C9"/>
    <mergeCell ref="B16:C16"/>
    <mergeCell ref="B17:C17"/>
    <mergeCell ref="B18:C18"/>
    <mergeCell ref="B19:C19"/>
    <mergeCell ref="B20:C20"/>
    <mergeCell ref="B21:C21"/>
    <mergeCell ref="B22:C22"/>
    <mergeCell ref="B23:C23"/>
    <mergeCell ref="B24:C24"/>
    <mergeCell ref="I1:I14"/>
    <mergeCell ref="W2:W27"/>
    <mergeCell ref="V2:V27"/>
    <mergeCell ref="U1:W1"/>
    <mergeCell ref="R1:R28"/>
    <mergeCell ref="U28:W28"/>
    <mergeCell ref="S1:S28"/>
    <mergeCell ref="Q1:Q14"/>
    <mergeCell ref="P1:P14"/>
    <mergeCell ref="U2:U27"/>
    <mergeCell ref="O1:O14"/>
    <mergeCell ref="T1:T28"/>
    <mergeCell ref="H1:H14"/>
    <mergeCell ref="G1:G14"/>
    <mergeCell ref="D1:D14"/>
    <mergeCell ref="F1:F14"/>
    <mergeCell ref="A1:A14"/>
    <mergeCell ref="E1:E14"/>
    <mergeCell ref="B10:B14"/>
    <mergeCell ref="C10:C14"/>
    <mergeCell ref="M1:M14"/>
    <mergeCell ref="N1:N14"/>
    <mergeCell ref="J1:L14"/>
    <mergeCell ref="X1:X28"/>
    <mergeCell ref="BE1:BE28"/>
  </mergeCells>
  <phoneticPr fontId="4" type="noConversion"/>
  <dataValidations count="9">
    <dataValidation type="list" allowBlank="1" showInputMessage="1" showErrorMessage="1" sqref="AQ29:AQ40" xr:uid="{00000000-0002-0000-0000-000000000000}">
      <formula1>"Yok, Var"</formula1>
    </dataValidation>
    <dataValidation type="list" allowBlank="1" showInputMessage="1" showErrorMessage="1" sqref="M15:M26" xr:uid="{D6DB34B5-9590-4803-9833-F0079B9818CB}">
      <formula1>$BD$2:$BD$50</formula1>
    </dataValidation>
    <dataValidation type="list" allowBlank="1" showInputMessage="1" showErrorMessage="1" sqref="R1:R28" xr:uid="{00000000-0002-0000-0000-000002000000}">
      <formula1>"Ocak, Şubat, Mart, Nisan, Mayıs, Haziran, Temmuz, Ağustos, Eylül, Ekim, Kasım, Aralık, Yıllık Toplam, Yıllık Ortalama"</formula1>
    </dataValidation>
    <dataValidation type="list" allowBlank="1" showInputMessage="1" showErrorMessage="1" sqref="AG18" xr:uid="{00000000-0002-0000-0000-000003000000}">
      <formula1>#REF!</formula1>
    </dataValidation>
    <dataValidation type="list" allowBlank="1" showInputMessage="1" showErrorMessage="1" sqref="E15:H26" xr:uid="{00000000-0002-0000-0000-000005000000}">
      <formula1>$BC$2:$BC$362</formula1>
    </dataValidation>
    <dataValidation type="list" allowBlank="1" showInputMessage="1" showErrorMessage="1" sqref="AK29:AK40 AX1:AX12 AU1:AU12 I15:I26 D15:D26" xr:uid="{00000000-0002-0000-0000-000006000000}">
      <formula1>$BB$2:$BB$362</formula1>
    </dataValidation>
    <dataValidation type="list" allowBlank="1" showInputMessage="1" showErrorMessage="1" sqref="N15:N26" xr:uid="{7325020B-39D5-44BD-BE83-E1F4896C42EB}">
      <formula1>"Yok,1. Derece,2. Derece,3. Derece"</formula1>
    </dataValidation>
    <dataValidation type="list" allowBlank="1" showInputMessage="1" showErrorMessage="1" sqref="J15:L26" xr:uid="{8D39B2D0-F4D0-45BF-964A-23D3EE799D8B}">
      <formula1>$AB$39:$AB$54</formula1>
    </dataValidation>
    <dataValidation type="list" allowBlank="1" showInputMessage="1" showErrorMessage="1" sqref="T1" xr:uid="{00000000-0002-0000-0000-000007000000}">
      <formula1>$AY$59:$AY$72</formula1>
    </dataValidation>
  </dataValidations>
  <printOptions horizontalCentered="1" verticalCentered="1"/>
  <pageMargins left="0" right="0" top="0" bottom="0" header="0" footer="0"/>
  <pageSetup paperSize="8"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emplate/>
  <TotalTime>17</TotalTime>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Özet Tablo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x</dc:creator>
  <dc:description/>
  <cp:lastModifiedBy>½</cp:lastModifiedBy>
  <cp:lastPrinted>2021-01-27T16:23:43Z</cp:lastPrinted>
  <dcterms:created xsi:type="dcterms:W3CDTF">2015-06-05T18:19:34Z</dcterms:created>
  <dcterms:modified xsi:type="dcterms:W3CDTF">2026-03-05T12:46:52Z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